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11.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1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1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4.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15.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16.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7.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18.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19.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20.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21.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22.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23.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24.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25.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26.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27.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28.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29.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30.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drawings/drawing31.xml" ContentType="application/vnd.openxmlformats-officedocument.drawing+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3"/>
  <workbookPr/>
  <mc:AlternateContent xmlns:mc="http://schemas.openxmlformats.org/markup-compatibility/2006">
    <mc:Choice Requires="x15">
      <x15ac:absPath xmlns:x15ac="http://schemas.microsoft.com/office/spreadsheetml/2010/11/ac" url="https://seafishcouk-my.sharepoint.com/personal/scott_lorimer_seafish_co_uk/Documents/Documents/"/>
    </mc:Choice>
  </mc:AlternateContent>
  <xr:revisionPtr revIDLastSave="13" documentId="8_{D6B9391C-EA86-400E-B82F-15C81FD00B48}" xr6:coauthVersionLast="47" xr6:coauthVersionMax="47" xr10:uidLastSave="{1CA2418D-ABEE-4BD0-A938-B0F8977F4D48}"/>
  <bookViews>
    <workbookView xWindow="-110" yWindow="-110" windowWidth="19420" windowHeight="10420" firstSheet="2" activeTab="2" xr2:uid="{0C007AB1-364F-4A29-ABD2-2514ACECA131}"/>
  </bookViews>
  <sheets>
    <sheet name="Contents" sheetId="1" r:id="rId1"/>
    <sheet name="Notes" sheetId="42" r:id="rId2"/>
    <sheet name="Highlights" sheetId="41" r:id="rId3"/>
    <sheet name="Segmentation Criteria" sheetId="40" r:id="rId4"/>
    <sheet name="Summary 2021" sheetId="3" r:id="rId5"/>
    <sheet name="Summary 2022" sheetId="2" r:id="rId6"/>
    <sheet name="Area VIIa demersal trawl" sheetId="4" r:id="rId7"/>
    <sheet name="Area VIIa nephrops o250kW" sheetId="5" r:id="rId8"/>
    <sheet name="Area VIIa nephrops u250kW" sheetId="6" r:id="rId9"/>
    <sheet name="Area VIIb-k trawlers 24-40m" sheetId="7" r:id="rId10"/>
    <sheet name="Area VIIb-k trawlers 10-24m" sheetId="8" r:id="rId11"/>
    <sheet name="Gill netters" sheetId="9" r:id="rId12"/>
    <sheet name="Longliners" sheetId="11" r:id="rId13"/>
    <sheet name="Low activity over 10m" sheetId="12" r:id="rId14"/>
    <sheet name="Low activity under 10m" sheetId="13" r:id="rId15"/>
    <sheet name="NS beam trawl over 300kW" sheetId="15" r:id="rId16"/>
    <sheet name="NS beam trawl under 300kW" sheetId="16" r:id="rId17"/>
    <sheet name="NS nephrops over 300kW" sheetId="17" r:id="rId18"/>
    <sheet name="NS nephrops under 300kW" sheetId="18" r:id="rId19"/>
    <sheet name="NSWOS demersal over 24m" sheetId="19" r:id="rId20"/>
    <sheet name="NSWOS dem pair trawl seine" sheetId="20" r:id="rId21"/>
    <sheet name="NSWOS demersal seiners" sheetId="21" r:id="rId22"/>
    <sheet name="NSWOS demersal u24m o300kW" sheetId="22" r:id="rId23"/>
    <sheet name="NSWOS demersal u24m u300kW" sheetId="23" r:id="rId24"/>
    <sheet name="Pots and traps 10-12m" sheetId="25" r:id="rId25"/>
    <sheet name="Pots and traps over 12m" sheetId="26" r:id="rId26"/>
    <sheet name="South West beamers o250kW" sheetId="27" r:id="rId27"/>
    <sheet name="South West beamers u250kW" sheetId="28" r:id="rId28"/>
    <sheet name="UK scallop dredge over 15m" sheetId="29" r:id="rId29"/>
    <sheet name="UK scallop dredge under 15m" sheetId="30" r:id="rId30"/>
    <sheet name="U10m demersal trawl-seine" sheetId="31" r:id="rId31"/>
    <sheet name="U10m drift-fixed nets" sheetId="32" r:id="rId32"/>
    <sheet name="U10m pots and traps" sheetId="33" r:id="rId33"/>
    <sheet name="U10m using hooks" sheetId="34" r:id="rId34"/>
    <sheet name="WOS nephrops over 250kW" sheetId="35" r:id="rId35"/>
    <sheet name="WOS nephrops under 250kW" sheetId="36" r:id="rId36"/>
    <sheet name="Sample rates" sheetId="39" r:id="rId37"/>
    <sheet name="Operating profit margin" sheetId="38" r:id="rId38"/>
    <sheet name="Net profit margin" sheetId="37" r:id="rId39"/>
  </sheets>
  <externalReferences>
    <externalReference r:id="rId40"/>
  </externalReferences>
  <definedNames>
    <definedName name="Area_VIIa_demersal_trawl">'Area VIIa demersal trawl'!$A$1</definedName>
    <definedName name="Area_VIIa_nephrops_o250kW">'Area VIIa nephrops o250kW'!$A$1</definedName>
    <definedName name="Area_VIIa_nephrops_u250kW">'Area VIIa nephrops u250kW'!$A$1</definedName>
    <definedName name="Area_VIIb_k_trawlers_10_24m">'Area VIIb-k trawlers 10-24m'!$A$1</definedName>
    <definedName name="Area_VIIb_k_trawlers_24_40m">'Area VIIb-k trawlers 24-40m'!$A$1</definedName>
    <definedName name="Gill_netters">'Gill netters'!$A$1</definedName>
    <definedName name="Highlights">Highlights!$A$1</definedName>
    <definedName name="Home_page">Contents!$A$1</definedName>
    <definedName name="Inactive">#REF!</definedName>
    <definedName name="Longliners">Longliners!$A$1</definedName>
    <definedName name="Low_activity_over_10m">'Low activity over 10m'!$A$1</definedName>
    <definedName name="Low_activity_under_10m">'Low activity under 10m'!$A$1</definedName>
    <definedName name="Miscellaneous">#REF!</definedName>
    <definedName name="Net_profit_margin">'Net profit margin'!$A$1</definedName>
    <definedName name="Notes">Notes!$A$1</definedName>
    <definedName name="NS_beam_trawl_over_300kW">'NS beam trawl over 300kW'!$A$1</definedName>
    <definedName name="NS_beam_trawl_under_300kW">'NS beam trawl under 300kW'!$A$1</definedName>
    <definedName name="NS_nephrops_over_300kW">'NS nephrops over 300kW'!$A$1</definedName>
    <definedName name="NS_nephrops_under_300kW">'NS nephrops under 300kW'!$A$1</definedName>
    <definedName name="NSWOS_dem_pair_trawl_seine">'NSWOS dem pair trawl seine'!$A$1</definedName>
    <definedName name="NSWOS_demersal_over_24m">'NSWOS demersal over 24m'!$A$1</definedName>
    <definedName name="NSWOS_demersal_seiners">'NSWOS demersal seiners'!$A$1</definedName>
    <definedName name="NSWOS_demersal_u24m_o300kW">'NSWOS demersal u24m o300kW'!$A$1</definedName>
    <definedName name="NSWOS_demersal_u24m_u300kW">'NSWOS demersal u24m u300kW'!$A$1</definedName>
    <definedName name="Operating_profit_margin">'Operating profit margin'!$A$1</definedName>
    <definedName name="Pelagic_over_40m">#REF!</definedName>
    <definedName name="Pots_and_traps_10_12m">'Pots and traps 10-12m'!$A$1</definedName>
    <definedName name="Pots_and_traps_over_12m">'Pots and traps over 12m'!$A$1</definedName>
    <definedName name="_xlnm.Print_Area" localSheetId="6">'Area VIIa demersal trawl'!$A$1:$Q$154</definedName>
    <definedName name="_xlnm.Print_Area" localSheetId="7">'Area VIIa nephrops o250kW'!$A$1:$Q$154</definedName>
    <definedName name="_xlnm.Print_Area" localSheetId="8">'Area VIIa nephrops u250kW'!$A$1:$Q$154</definedName>
    <definedName name="_xlnm.Print_Area" localSheetId="10">'Area VIIb-k trawlers 10-24m'!$A$1:$Q$154</definedName>
    <definedName name="_xlnm.Print_Area" localSheetId="9">'Area VIIb-k trawlers 24-40m'!$A$1:$Q$154</definedName>
    <definedName name="_xlnm.Print_Area" localSheetId="11">'Gill netters'!$A$1:$Q$154</definedName>
    <definedName name="_xlnm.Print_Area" localSheetId="2">Highlights!$B$1:$B$33</definedName>
    <definedName name="_xlnm.Print_Area" localSheetId="12">Longliners!$A$1:$Q$154</definedName>
    <definedName name="_xlnm.Print_Area" localSheetId="13">'Low activity over 10m'!$A$1:$Q$154</definedName>
    <definedName name="_xlnm.Print_Area" localSheetId="14">'Low activity under 10m'!$A$1:$Q$154</definedName>
    <definedName name="_xlnm.Print_Area" localSheetId="1">Notes!$A$1:$C$40</definedName>
    <definedName name="_xlnm.Print_Area" localSheetId="15">'NS beam trawl over 300kW'!$A$1:$Q$154</definedName>
    <definedName name="_xlnm.Print_Area" localSheetId="16">'NS beam trawl under 300kW'!$A$1:$Q$154</definedName>
    <definedName name="_xlnm.Print_Area" localSheetId="17">'NS nephrops over 300kW'!$A$1:$Q$154</definedName>
    <definedName name="_xlnm.Print_Area" localSheetId="18">'NS nephrops under 300kW'!$A$1:$Q$154</definedName>
    <definedName name="_xlnm.Print_Area" localSheetId="20">'NSWOS dem pair trawl seine'!$A$1:$Q$154</definedName>
    <definedName name="_xlnm.Print_Area" localSheetId="19">'NSWOS demersal over 24m'!$A$1:$Q$154</definedName>
    <definedName name="_xlnm.Print_Area" localSheetId="21">'NSWOS demersal seiners'!$A$1:$Q$154</definedName>
    <definedName name="_xlnm.Print_Area" localSheetId="22">'NSWOS demersal u24m o300kW'!$A$1:$Q$154</definedName>
    <definedName name="_xlnm.Print_Area" localSheetId="23">'NSWOS demersal u24m u300kW'!$A$1:$Q$154</definedName>
    <definedName name="_xlnm.Print_Area" localSheetId="24">'Pots and traps 10-12m'!$A$1:$Q$154</definedName>
    <definedName name="_xlnm.Print_Area" localSheetId="25">'Pots and traps over 12m'!$A$1:$Q$154</definedName>
    <definedName name="_xlnm.Print_Area" localSheetId="26">'South West beamers o250kW'!$A$1:$Q$154</definedName>
    <definedName name="_xlnm.Print_Area" localSheetId="27">'South West beamers u250kW'!$A$1:$Q$154</definedName>
    <definedName name="_xlnm.Print_Area" localSheetId="30">'U10m demersal trawl-seine'!$A$1:$Q$154</definedName>
    <definedName name="_xlnm.Print_Area" localSheetId="31">'U10m drift-fixed nets'!$A$1:$Q$154</definedName>
    <definedName name="_xlnm.Print_Area" localSheetId="32">'U10m pots and traps'!$A$1:$Q$154</definedName>
    <definedName name="_xlnm.Print_Area" localSheetId="33">'U10m using hooks'!$A$1:$Q$154</definedName>
    <definedName name="_xlnm.Print_Area" localSheetId="28">'UK scallop dredge over 15m'!$A$1:$Q$154</definedName>
    <definedName name="_xlnm.Print_Area" localSheetId="29">'UK scallop dredge under 15m'!$A$1:$Q$154</definedName>
    <definedName name="_xlnm.Print_Area" localSheetId="34">'WOS nephrops over 250kW'!$A$1:$Q$154</definedName>
    <definedName name="_xlnm.Print_Area" localSheetId="35">'WOS nephrops under 250kW'!$A$1:$Q$154</definedName>
    <definedName name="rounding_export" localSheetId="1">'[1]Segment tables'!$D$4</definedName>
    <definedName name="Sample_rates">'Sample rates'!$A$1</definedName>
    <definedName name="Segmentation_Criteria">'Segmentation Criteria'!$A$1</definedName>
    <definedName name="short_names" localSheetId="1">'[1]Segment tables'!$A$63:$B$95</definedName>
    <definedName name="small_numbers" localSheetId="1">'[1]Segment tables'!$B$4</definedName>
    <definedName name="South_West_beamers_o250kW">'South West beamers o250kW'!$A$1</definedName>
    <definedName name="South_West_beamers_u250kW">'South West beamers u250kW'!$A$1</definedName>
    <definedName name="sp_names" localSheetId="1">'[1]Species names'!$A$2:$B$119</definedName>
    <definedName name="Summary_last">'Summary 2021'!$A$1</definedName>
    <definedName name="Summary_projection">'Summary 2022'!$A$1</definedName>
    <definedName name="table_change" localSheetId="1">'[1]Segment tables'!$A$59:$C$61</definedName>
    <definedName name="U10m_demersal_trawl_seine">'U10m demersal trawl-seine'!$A$1</definedName>
    <definedName name="U10m_drift_fixed_nets">'U10m drift-fixed nets'!$A$1</definedName>
    <definedName name="U10m_pots_and_traps">'U10m pots and traps'!$A$1</definedName>
    <definedName name="U10m_using_hooks">'U10m using hooks'!$A$1</definedName>
    <definedName name="UK_scallop_dredge_over_15m">'UK scallop dredge over 15m'!$A$1</definedName>
    <definedName name="UK_scallop_dredge_under_15m">'UK scallop dredge under 15m'!$A$1</definedName>
    <definedName name="WOS_nephrops_over_250kW">'WOS nephrops over 250kW'!$A$1</definedName>
    <definedName name="WOS_nephrops_under_250kW">'WOS nephrops under 250kW'!$A$1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3" i="36" l="1"/>
  <c r="E143" i="36"/>
  <c r="N142" i="36" s="1"/>
  <c r="D143" i="36"/>
  <c r="M142" i="36" s="1"/>
  <c r="C143" i="36"/>
  <c r="L142" i="36" s="1"/>
  <c r="F142" i="36"/>
  <c r="E142" i="36"/>
  <c r="N141" i="36" s="1"/>
  <c r="D142" i="36"/>
  <c r="M141" i="36" s="1"/>
  <c r="C142" i="36"/>
  <c r="L141" i="36" s="1"/>
  <c r="F141" i="36"/>
  <c r="E141" i="36"/>
  <c r="N140" i="36" s="1"/>
  <c r="D141" i="36"/>
  <c r="M140" i="36" s="1"/>
  <c r="C141" i="36"/>
  <c r="L140" i="36" s="1"/>
  <c r="L144" i="36" s="1"/>
  <c r="F140" i="36"/>
  <c r="E140" i="36"/>
  <c r="D140" i="36"/>
  <c r="C140" i="36"/>
  <c r="F139" i="36"/>
  <c r="E139" i="36"/>
  <c r="D139" i="36"/>
  <c r="C139" i="36"/>
  <c r="F136" i="36"/>
  <c r="E136" i="36"/>
  <c r="D136" i="36"/>
  <c r="C136" i="36"/>
  <c r="F135" i="36"/>
  <c r="E135" i="36"/>
  <c r="D135" i="36"/>
  <c r="C135" i="36"/>
  <c r="F134" i="36"/>
  <c r="E134" i="36"/>
  <c r="D134" i="36"/>
  <c r="C134" i="36"/>
  <c r="F133" i="36"/>
  <c r="E133" i="36"/>
  <c r="D133" i="36"/>
  <c r="C133" i="36"/>
  <c r="F131" i="36"/>
  <c r="E131" i="36"/>
  <c r="D131" i="36"/>
  <c r="C131" i="36"/>
  <c r="F127" i="36"/>
  <c r="E127" i="36"/>
  <c r="D127" i="36"/>
  <c r="C127" i="36"/>
  <c r="M42" i="36"/>
  <c r="L42" i="36"/>
  <c r="K42" i="36"/>
  <c r="J42" i="36"/>
  <c r="I42" i="36"/>
  <c r="H42" i="36"/>
  <c r="G42" i="36"/>
  <c r="F42" i="36"/>
  <c r="E42" i="36"/>
  <c r="D42" i="36"/>
  <c r="M41" i="36"/>
  <c r="L41" i="36"/>
  <c r="K41" i="36"/>
  <c r="J41" i="36"/>
  <c r="I41" i="36"/>
  <c r="H41" i="36"/>
  <c r="G41" i="36"/>
  <c r="F41" i="36"/>
  <c r="E41" i="36"/>
  <c r="D41" i="36"/>
  <c r="M40" i="36"/>
  <c r="L40" i="36"/>
  <c r="K40" i="36"/>
  <c r="J40" i="36"/>
  <c r="I40" i="36"/>
  <c r="H40" i="36"/>
  <c r="G40" i="36"/>
  <c r="F40" i="36"/>
  <c r="E40" i="36"/>
  <c r="D40" i="36"/>
  <c r="M39" i="36"/>
  <c r="L39" i="36"/>
  <c r="K39" i="36"/>
  <c r="J39" i="36"/>
  <c r="I39" i="36"/>
  <c r="H39" i="36"/>
  <c r="G39" i="36"/>
  <c r="F39" i="36"/>
  <c r="E39" i="36"/>
  <c r="D39" i="36"/>
  <c r="M38" i="36"/>
  <c r="L38" i="36"/>
  <c r="K38" i="36"/>
  <c r="J38" i="36"/>
  <c r="P38" i="36" s="1"/>
  <c r="I38" i="36"/>
  <c r="H38" i="36"/>
  <c r="G38" i="36"/>
  <c r="F38" i="36"/>
  <c r="E38" i="36"/>
  <c r="D38" i="36"/>
  <c r="O38" i="36" s="1"/>
  <c r="M37" i="36"/>
  <c r="L37" i="36"/>
  <c r="K37" i="36"/>
  <c r="J37" i="36"/>
  <c r="P37" i="36" s="1"/>
  <c r="I37" i="36"/>
  <c r="H37" i="36"/>
  <c r="G37" i="36"/>
  <c r="F37" i="36"/>
  <c r="E37" i="36"/>
  <c r="D37" i="36"/>
  <c r="O37" i="36" s="1"/>
  <c r="M36" i="36"/>
  <c r="L36" i="36"/>
  <c r="K36" i="36"/>
  <c r="J36" i="36"/>
  <c r="P36" i="36" s="1"/>
  <c r="I36" i="36"/>
  <c r="H36" i="36"/>
  <c r="G36" i="36"/>
  <c r="F36" i="36"/>
  <c r="E36" i="36"/>
  <c r="D36" i="36"/>
  <c r="O36" i="36" s="1"/>
  <c r="M35" i="36"/>
  <c r="L35" i="36"/>
  <c r="K35" i="36"/>
  <c r="J35" i="36"/>
  <c r="P35" i="36" s="1"/>
  <c r="I35" i="36"/>
  <c r="H35" i="36"/>
  <c r="G35" i="36"/>
  <c r="F35" i="36"/>
  <c r="E35" i="36"/>
  <c r="D35" i="36"/>
  <c r="O35" i="36" s="1"/>
  <c r="M34" i="36"/>
  <c r="L34" i="36"/>
  <c r="K34" i="36"/>
  <c r="J34" i="36"/>
  <c r="P34" i="36" s="1"/>
  <c r="I34" i="36"/>
  <c r="H34" i="36"/>
  <c r="G34" i="36"/>
  <c r="F34" i="36"/>
  <c r="E34" i="36"/>
  <c r="D34" i="36"/>
  <c r="O34" i="36" s="1"/>
  <c r="M33" i="36"/>
  <c r="L33" i="36"/>
  <c r="K33" i="36"/>
  <c r="J33" i="36"/>
  <c r="P33" i="36" s="1"/>
  <c r="I33" i="36"/>
  <c r="H33" i="36"/>
  <c r="G33" i="36"/>
  <c r="F33" i="36"/>
  <c r="E33" i="36"/>
  <c r="D33" i="36"/>
  <c r="O33" i="36" s="1"/>
  <c r="M32" i="36"/>
  <c r="L32" i="36"/>
  <c r="K32" i="36"/>
  <c r="J32" i="36"/>
  <c r="P32" i="36" s="1"/>
  <c r="I32" i="36"/>
  <c r="H32" i="36"/>
  <c r="G32" i="36"/>
  <c r="F32" i="36"/>
  <c r="E32" i="36"/>
  <c r="D32" i="36"/>
  <c r="O32" i="36" s="1"/>
  <c r="M31" i="36"/>
  <c r="L31" i="36"/>
  <c r="K31" i="36"/>
  <c r="J31" i="36"/>
  <c r="P31" i="36" s="1"/>
  <c r="I31" i="36"/>
  <c r="H31" i="36"/>
  <c r="G31" i="36"/>
  <c r="F31" i="36"/>
  <c r="E31" i="36"/>
  <c r="D31" i="36"/>
  <c r="O31" i="36" s="1"/>
  <c r="M30" i="36"/>
  <c r="L30" i="36"/>
  <c r="K30" i="36"/>
  <c r="J30" i="36"/>
  <c r="P30" i="36" s="1"/>
  <c r="I30" i="36"/>
  <c r="H30" i="36"/>
  <c r="G30" i="36"/>
  <c r="F30" i="36"/>
  <c r="E30" i="36"/>
  <c r="D30" i="36"/>
  <c r="O30" i="36" s="1"/>
  <c r="M29" i="36"/>
  <c r="L29" i="36"/>
  <c r="K29" i="36"/>
  <c r="J29" i="36"/>
  <c r="P29" i="36" s="1"/>
  <c r="I29" i="36"/>
  <c r="H29" i="36"/>
  <c r="G29" i="36"/>
  <c r="F29" i="36"/>
  <c r="E29" i="36"/>
  <c r="D29" i="36"/>
  <c r="O29" i="36" s="1"/>
  <c r="M28" i="36"/>
  <c r="L28" i="36"/>
  <c r="K28" i="36"/>
  <c r="J28" i="36"/>
  <c r="P28" i="36" s="1"/>
  <c r="I28" i="36"/>
  <c r="H28" i="36"/>
  <c r="G28" i="36"/>
  <c r="F28" i="36"/>
  <c r="E28" i="36"/>
  <c r="D28" i="36"/>
  <c r="O28" i="36" s="1"/>
  <c r="M27" i="36"/>
  <c r="L27" i="36"/>
  <c r="K27" i="36"/>
  <c r="J27" i="36"/>
  <c r="P27" i="36" s="1"/>
  <c r="I27" i="36"/>
  <c r="H27" i="36"/>
  <c r="G27" i="36"/>
  <c r="F27" i="36"/>
  <c r="E27" i="36"/>
  <c r="D27" i="36"/>
  <c r="O27" i="36" s="1"/>
  <c r="M26" i="36"/>
  <c r="L26" i="36"/>
  <c r="K26" i="36"/>
  <c r="J26" i="36"/>
  <c r="P26" i="36" s="1"/>
  <c r="I26" i="36"/>
  <c r="H26" i="36"/>
  <c r="G26" i="36"/>
  <c r="F26" i="36"/>
  <c r="E26" i="36"/>
  <c r="D26" i="36"/>
  <c r="O26" i="36" s="1"/>
  <c r="M25" i="36"/>
  <c r="L25" i="36"/>
  <c r="K25" i="36"/>
  <c r="J25" i="36"/>
  <c r="P25" i="36" s="1"/>
  <c r="I25" i="36"/>
  <c r="H25" i="36"/>
  <c r="G25" i="36"/>
  <c r="F25" i="36"/>
  <c r="E25" i="36"/>
  <c r="D25" i="36"/>
  <c r="O25" i="36" s="1"/>
  <c r="M24" i="36"/>
  <c r="L24" i="36"/>
  <c r="K24" i="36"/>
  <c r="J24" i="36"/>
  <c r="P24" i="36" s="1"/>
  <c r="I24" i="36"/>
  <c r="H24" i="36"/>
  <c r="G24" i="36"/>
  <c r="F24" i="36"/>
  <c r="E24" i="36"/>
  <c r="D24" i="36"/>
  <c r="O24" i="36" s="1"/>
  <c r="M23" i="36"/>
  <c r="L23" i="36"/>
  <c r="K23" i="36"/>
  <c r="J23" i="36"/>
  <c r="P23" i="36" s="1"/>
  <c r="I23" i="36"/>
  <c r="H23" i="36"/>
  <c r="G23" i="36"/>
  <c r="F23" i="36"/>
  <c r="E23" i="36"/>
  <c r="D23" i="36"/>
  <c r="O23" i="36" s="1"/>
  <c r="M21" i="36"/>
  <c r="L21" i="36"/>
  <c r="K21" i="36"/>
  <c r="J21" i="36"/>
  <c r="P21" i="36" s="1"/>
  <c r="I21" i="36"/>
  <c r="H21" i="36"/>
  <c r="G21" i="36"/>
  <c r="F21" i="36"/>
  <c r="E21" i="36"/>
  <c r="D21" i="36"/>
  <c r="O21" i="36" s="1"/>
  <c r="M17" i="36"/>
  <c r="L17" i="36"/>
  <c r="K17" i="36"/>
  <c r="J17" i="36"/>
  <c r="P17" i="36" s="1"/>
  <c r="I17" i="36"/>
  <c r="H17" i="36"/>
  <c r="G17" i="36"/>
  <c r="F17" i="36"/>
  <c r="E17" i="36"/>
  <c r="D17" i="36"/>
  <c r="O17" i="36" s="1"/>
  <c r="M8" i="36"/>
  <c r="L8" i="36"/>
  <c r="K8" i="36"/>
  <c r="J8" i="36"/>
  <c r="P8" i="36" s="1"/>
  <c r="I8" i="36"/>
  <c r="H8" i="36"/>
  <c r="G8" i="36"/>
  <c r="F8" i="36"/>
  <c r="E8" i="36"/>
  <c r="D8" i="36"/>
  <c r="O8" i="36" s="1"/>
  <c r="N139" i="36"/>
  <c r="M139" i="36"/>
  <c r="L139" i="36"/>
  <c r="B115" i="36"/>
  <c r="S90" i="36" s="1"/>
  <c r="F115" i="36" s="1"/>
  <c r="B153" i="36" s="1"/>
  <c r="F77" i="36"/>
  <c r="A77" i="36"/>
  <c r="K63" i="36"/>
  <c r="F63" i="36"/>
  <c r="B63" i="36"/>
  <c r="A51" i="36"/>
  <c r="A50" i="36"/>
  <c r="K49" i="36"/>
  <c r="A49" i="36"/>
  <c r="P42" i="36"/>
  <c r="O42" i="36"/>
  <c r="P41" i="36"/>
  <c r="O41" i="36"/>
  <c r="P40" i="36"/>
  <c r="O40" i="36"/>
  <c r="P39" i="36"/>
  <c r="O39" i="36"/>
  <c r="P22" i="36"/>
  <c r="O22" i="36"/>
  <c r="P20" i="36"/>
  <c r="O20" i="36"/>
  <c r="P19" i="36"/>
  <c r="O19" i="36"/>
  <c r="P18" i="36"/>
  <c r="O18" i="36"/>
  <c r="P16" i="36"/>
  <c r="O16" i="36"/>
  <c r="P15" i="36"/>
  <c r="O15" i="36"/>
  <c r="P14" i="36"/>
  <c r="O14" i="36"/>
  <c r="P13" i="36"/>
  <c r="O13" i="36"/>
  <c r="P12" i="36"/>
  <c r="O12" i="36"/>
  <c r="P11" i="36"/>
  <c r="O11" i="36"/>
  <c r="P10" i="36"/>
  <c r="O10" i="36"/>
  <c r="P9" i="36"/>
  <c r="O9" i="36"/>
  <c r="P7" i="36"/>
  <c r="O7" i="36"/>
  <c r="P6" i="36"/>
  <c r="O6" i="36"/>
  <c r="P5" i="36"/>
  <c r="O5" i="36"/>
  <c r="P4" i="36"/>
  <c r="O4" i="36"/>
  <c r="P3" i="36"/>
  <c r="O3" i="36"/>
  <c r="P2" i="36"/>
  <c r="O2" i="36"/>
  <c r="P43" i="36"/>
  <c r="P90" i="36" s="1"/>
  <c r="P153" i="36" s="1"/>
  <c r="F143" i="35"/>
  <c r="E143" i="35"/>
  <c r="N142" i="35" s="1"/>
  <c r="D143" i="35"/>
  <c r="M142" i="35" s="1"/>
  <c r="C143" i="35"/>
  <c r="L142" i="35" s="1"/>
  <c r="F142" i="35"/>
  <c r="E142" i="35"/>
  <c r="N141" i="35" s="1"/>
  <c r="D142" i="35"/>
  <c r="M141" i="35" s="1"/>
  <c r="C142" i="35"/>
  <c r="L141" i="35" s="1"/>
  <c r="F141" i="35"/>
  <c r="E141" i="35"/>
  <c r="N140" i="35" s="1"/>
  <c r="D141" i="35"/>
  <c r="M140" i="35" s="1"/>
  <c r="C141" i="35"/>
  <c r="L140" i="35" s="1"/>
  <c r="F140" i="35"/>
  <c r="E140" i="35"/>
  <c r="D140" i="35"/>
  <c r="C140" i="35"/>
  <c r="F139" i="35"/>
  <c r="E139" i="35"/>
  <c r="D139" i="35"/>
  <c r="C139" i="35"/>
  <c r="F136" i="35"/>
  <c r="E136" i="35"/>
  <c r="D136" i="35"/>
  <c r="C136" i="35"/>
  <c r="F135" i="35"/>
  <c r="E135" i="35"/>
  <c r="D135" i="35"/>
  <c r="C135" i="35"/>
  <c r="F134" i="35"/>
  <c r="E134" i="35"/>
  <c r="D134" i="35"/>
  <c r="C134" i="35"/>
  <c r="F133" i="35"/>
  <c r="E133" i="35"/>
  <c r="D133" i="35"/>
  <c r="C133" i="35"/>
  <c r="F131" i="35"/>
  <c r="E131" i="35"/>
  <c r="D131" i="35"/>
  <c r="C131" i="35"/>
  <c r="F127" i="35"/>
  <c r="E127" i="35"/>
  <c r="D127" i="35"/>
  <c r="C127" i="35"/>
  <c r="M42" i="35"/>
  <c r="L42" i="35"/>
  <c r="K42" i="35"/>
  <c r="J42" i="35"/>
  <c r="I42" i="35"/>
  <c r="H42" i="35"/>
  <c r="G42" i="35"/>
  <c r="F42" i="35"/>
  <c r="E42" i="35"/>
  <c r="D42" i="35"/>
  <c r="M41" i="35"/>
  <c r="L41" i="35"/>
  <c r="K41" i="35"/>
  <c r="J41" i="35"/>
  <c r="I41" i="35"/>
  <c r="H41" i="35"/>
  <c r="G41" i="35"/>
  <c r="F41" i="35"/>
  <c r="E41" i="35"/>
  <c r="D41" i="35"/>
  <c r="M40" i="35"/>
  <c r="L40" i="35"/>
  <c r="K40" i="35"/>
  <c r="J40" i="35"/>
  <c r="I40" i="35"/>
  <c r="H40" i="35"/>
  <c r="G40" i="35"/>
  <c r="F40" i="35"/>
  <c r="E40" i="35"/>
  <c r="D40" i="35"/>
  <c r="M39" i="35"/>
  <c r="L39" i="35"/>
  <c r="K39" i="35"/>
  <c r="J39" i="35"/>
  <c r="I39" i="35"/>
  <c r="H39" i="35"/>
  <c r="G39" i="35"/>
  <c r="F39" i="35"/>
  <c r="E39" i="35"/>
  <c r="D39" i="35"/>
  <c r="M38" i="35"/>
  <c r="L38" i="35"/>
  <c r="K38" i="35"/>
  <c r="J38" i="35"/>
  <c r="P38" i="35" s="1"/>
  <c r="I38" i="35"/>
  <c r="H38" i="35"/>
  <c r="G38" i="35"/>
  <c r="F38" i="35"/>
  <c r="E38" i="35"/>
  <c r="D38" i="35"/>
  <c r="O38" i="35" s="1"/>
  <c r="M37" i="35"/>
  <c r="L37" i="35"/>
  <c r="K37" i="35"/>
  <c r="J37" i="35"/>
  <c r="P37" i="35" s="1"/>
  <c r="I37" i="35"/>
  <c r="H37" i="35"/>
  <c r="G37" i="35"/>
  <c r="F37" i="35"/>
  <c r="E37" i="35"/>
  <c r="D37" i="35"/>
  <c r="M36" i="35"/>
  <c r="L36" i="35"/>
  <c r="K36" i="35"/>
  <c r="J36" i="35"/>
  <c r="P36" i="35" s="1"/>
  <c r="I36" i="35"/>
  <c r="H36" i="35"/>
  <c r="G36" i="35"/>
  <c r="F36" i="35"/>
  <c r="E36" i="35"/>
  <c r="D36" i="35"/>
  <c r="O36" i="35" s="1"/>
  <c r="M35" i="35"/>
  <c r="L35" i="35"/>
  <c r="K35" i="35"/>
  <c r="J35" i="35"/>
  <c r="P35" i="35" s="1"/>
  <c r="I35" i="35"/>
  <c r="H35" i="35"/>
  <c r="G35" i="35"/>
  <c r="F35" i="35"/>
  <c r="E35" i="35"/>
  <c r="D35" i="35"/>
  <c r="O35" i="35" s="1"/>
  <c r="M34" i="35"/>
  <c r="L34" i="35"/>
  <c r="K34" i="35"/>
  <c r="J34" i="35"/>
  <c r="P34" i="35" s="1"/>
  <c r="I34" i="35"/>
  <c r="H34" i="35"/>
  <c r="G34" i="35"/>
  <c r="F34" i="35"/>
  <c r="E34" i="35"/>
  <c r="D34" i="35"/>
  <c r="O34" i="35" s="1"/>
  <c r="M33" i="35"/>
  <c r="L33" i="35"/>
  <c r="K33" i="35"/>
  <c r="J33" i="35"/>
  <c r="P33" i="35" s="1"/>
  <c r="I33" i="35"/>
  <c r="H33" i="35"/>
  <c r="G33" i="35"/>
  <c r="F33" i="35"/>
  <c r="E33" i="35"/>
  <c r="D33" i="35"/>
  <c r="O33" i="35" s="1"/>
  <c r="M32" i="35"/>
  <c r="L32" i="35"/>
  <c r="K32" i="35"/>
  <c r="J32" i="35"/>
  <c r="P32" i="35" s="1"/>
  <c r="I32" i="35"/>
  <c r="H32" i="35"/>
  <c r="G32" i="35"/>
  <c r="F32" i="35"/>
  <c r="E32" i="35"/>
  <c r="D32" i="35"/>
  <c r="O32" i="35" s="1"/>
  <c r="M31" i="35"/>
  <c r="L31" i="35"/>
  <c r="K31" i="35"/>
  <c r="J31" i="35"/>
  <c r="P31" i="35" s="1"/>
  <c r="I31" i="35"/>
  <c r="H31" i="35"/>
  <c r="G31" i="35"/>
  <c r="F31" i="35"/>
  <c r="E31" i="35"/>
  <c r="D31" i="35"/>
  <c r="O31" i="35" s="1"/>
  <c r="M30" i="35"/>
  <c r="L30" i="35"/>
  <c r="K30" i="35"/>
  <c r="J30" i="35"/>
  <c r="P30" i="35" s="1"/>
  <c r="I30" i="35"/>
  <c r="H30" i="35"/>
  <c r="G30" i="35"/>
  <c r="F30" i="35"/>
  <c r="E30" i="35"/>
  <c r="D30" i="35"/>
  <c r="O30" i="35" s="1"/>
  <c r="M29" i="35"/>
  <c r="L29" i="35"/>
  <c r="K29" i="35"/>
  <c r="J29" i="35"/>
  <c r="P29" i="35" s="1"/>
  <c r="I29" i="35"/>
  <c r="H29" i="35"/>
  <c r="G29" i="35"/>
  <c r="F29" i="35"/>
  <c r="E29" i="35"/>
  <c r="D29" i="35"/>
  <c r="O29" i="35" s="1"/>
  <c r="M28" i="35"/>
  <c r="L28" i="35"/>
  <c r="K28" i="35"/>
  <c r="J28" i="35"/>
  <c r="P28" i="35" s="1"/>
  <c r="I28" i="35"/>
  <c r="H28" i="35"/>
  <c r="G28" i="35"/>
  <c r="F28" i="35"/>
  <c r="E28" i="35"/>
  <c r="D28" i="35"/>
  <c r="O28" i="35" s="1"/>
  <c r="M27" i="35"/>
  <c r="L27" i="35"/>
  <c r="K27" i="35"/>
  <c r="J27" i="35"/>
  <c r="P27" i="35" s="1"/>
  <c r="I27" i="35"/>
  <c r="H27" i="35"/>
  <c r="G27" i="35"/>
  <c r="F27" i="35"/>
  <c r="E27" i="35"/>
  <c r="D27" i="35"/>
  <c r="M26" i="35"/>
  <c r="L26" i="35"/>
  <c r="K26" i="35"/>
  <c r="J26" i="35"/>
  <c r="P26" i="35" s="1"/>
  <c r="I26" i="35"/>
  <c r="H26" i="35"/>
  <c r="G26" i="35"/>
  <c r="F26" i="35"/>
  <c r="E26" i="35"/>
  <c r="D26" i="35"/>
  <c r="O26" i="35" s="1"/>
  <c r="M25" i="35"/>
  <c r="L25" i="35"/>
  <c r="K25" i="35"/>
  <c r="J25" i="35"/>
  <c r="P25" i="35" s="1"/>
  <c r="I25" i="35"/>
  <c r="H25" i="35"/>
  <c r="G25" i="35"/>
  <c r="F25" i="35"/>
  <c r="E25" i="35"/>
  <c r="D25" i="35"/>
  <c r="O25" i="35" s="1"/>
  <c r="M24" i="35"/>
  <c r="L24" i="35"/>
  <c r="K24" i="35"/>
  <c r="J24" i="35"/>
  <c r="P24" i="35" s="1"/>
  <c r="I24" i="35"/>
  <c r="H24" i="35"/>
  <c r="G24" i="35"/>
  <c r="F24" i="35"/>
  <c r="E24" i="35"/>
  <c r="D24" i="35"/>
  <c r="O24" i="35" s="1"/>
  <c r="M23" i="35"/>
  <c r="L23" i="35"/>
  <c r="K23" i="35"/>
  <c r="J23" i="35"/>
  <c r="P23" i="35" s="1"/>
  <c r="I23" i="35"/>
  <c r="H23" i="35"/>
  <c r="G23" i="35"/>
  <c r="F23" i="35"/>
  <c r="E23" i="35"/>
  <c r="D23" i="35"/>
  <c r="O23" i="35" s="1"/>
  <c r="M21" i="35"/>
  <c r="L21" i="35"/>
  <c r="K21" i="35"/>
  <c r="J21" i="35"/>
  <c r="P21" i="35" s="1"/>
  <c r="I21" i="35"/>
  <c r="H21" i="35"/>
  <c r="G21" i="35"/>
  <c r="F21" i="35"/>
  <c r="E21" i="35"/>
  <c r="D21" i="35"/>
  <c r="O21" i="35" s="1"/>
  <c r="M17" i="35"/>
  <c r="L17" i="35"/>
  <c r="K17" i="35"/>
  <c r="J17" i="35"/>
  <c r="P17" i="35" s="1"/>
  <c r="I17" i="35"/>
  <c r="H17" i="35"/>
  <c r="G17" i="35"/>
  <c r="F17" i="35"/>
  <c r="E17" i="35"/>
  <c r="D17" i="35"/>
  <c r="O17" i="35" s="1"/>
  <c r="M8" i="35"/>
  <c r="L8" i="35"/>
  <c r="K8" i="35"/>
  <c r="J8" i="35"/>
  <c r="P8" i="35" s="1"/>
  <c r="I8" i="35"/>
  <c r="H8" i="35"/>
  <c r="G8" i="35"/>
  <c r="F8" i="35"/>
  <c r="E8" i="35"/>
  <c r="D8" i="35"/>
  <c r="O8" i="35" s="1"/>
  <c r="N139" i="35"/>
  <c r="M139" i="35"/>
  <c r="L139" i="35"/>
  <c r="B115" i="35"/>
  <c r="S90" i="35" s="1"/>
  <c r="F115" i="35" s="1"/>
  <c r="B153" i="35" s="1"/>
  <c r="F77" i="35"/>
  <c r="A77" i="35"/>
  <c r="K63" i="35"/>
  <c r="F63" i="35"/>
  <c r="B63" i="35"/>
  <c r="A51" i="35"/>
  <c r="A50" i="35"/>
  <c r="K49" i="35"/>
  <c r="A49" i="35"/>
  <c r="P42" i="35"/>
  <c r="O42" i="35"/>
  <c r="P41" i="35"/>
  <c r="O41" i="35"/>
  <c r="P40" i="35"/>
  <c r="O40" i="35"/>
  <c r="P39" i="35"/>
  <c r="O39" i="35"/>
  <c r="P22" i="35"/>
  <c r="O22" i="35"/>
  <c r="P20" i="35"/>
  <c r="O20" i="35"/>
  <c r="P19" i="35"/>
  <c r="O19" i="35"/>
  <c r="P18" i="35"/>
  <c r="O18" i="35"/>
  <c r="P16" i="35"/>
  <c r="O16" i="35"/>
  <c r="P15" i="35"/>
  <c r="O15" i="35"/>
  <c r="P14" i="35"/>
  <c r="O14" i="35"/>
  <c r="P13" i="35"/>
  <c r="O13" i="35"/>
  <c r="P12" i="35"/>
  <c r="O12" i="35"/>
  <c r="P11" i="35"/>
  <c r="O11" i="35"/>
  <c r="P10" i="35"/>
  <c r="O10" i="35"/>
  <c r="P9" i="35"/>
  <c r="O9" i="35"/>
  <c r="P7" i="35"/>
  <c r="O7" i="35"/>
  <c r="P6" i="35"/>
  <c r="O6" i="35"/>
  <c r="P5" i="35"/>
  <c r="O5" i="35"/>
  <c r="P4" i="35"/>
  <c r="O4" i="35"/>
  <c r="P3" i="35"/>
  <c r="O3" i="35"/>
  <c r="P2" i="35"/>
  <c r="O2" i="35"/>
  <c r="P43" i="35"/>
  <c r="P90" i="35" s="1"/>
  <c r="P153" i="35" s="1"/>
  <c r="F143" i="34"/>
  <c r="E143" i="34"/>
  <c r="D143" i="34"/>
  <c r="C143" i="34"/>
  <c r="F142" i="34"/>
  <c r="E142" i="34"/>
  <c r="N141" i="34" s="1"/>
  <c r="D142" i="34"/>
  <c r="M141" i="34" s="1"/>
  <c r="C142" i="34"/>
  <c r="L141" i="34" s="1"/>
  <c r="F141" i="34"/>
  <c r="E141" i="34"/>
  <c r="N140" i="34" s="1"/>
  <c r="D141" i="34"/>
  <c r="M140" i="34" s="1"/>
  <c r="C141" i="34"/>
  <c r="L140" i="34" s="1"/>
  <c r="F140" i="34"/>
  <c r="E140" i="34"/>
  <c r="D140" i="34"/>
  <c r="C140" i="34"/>
  <c r="F139" i="34"/>
  <c r="E139" i="34"/>
  <c r="D139" i="34"/>
  <c r="C139" i="34"/>
  <c r="F136" i="34"/>
  <c r="E136" i="34"/>
  <c r="D136" i="34"/>
  <c r="C136" i="34"/>
  <c r="F135" i="34"/>
  <c r="E135" i="34"/>
  <c r="D135" i="34"/>
  <c r="C135" i="34"/>
  <c r="F134" i="34"/>
  <c r="E134" i="34"/>
  <c r="D134" i="34"/>
  <c r="C134" i="34"/>
  <c r="F133" i="34"/>
  <c r="E133" i="34"/>
  <c r="D133" i="34"/>
  <c r="C133" i="34"/>
  <c r="F131" i="34"/>
  <c r="E131" i="34"/>
  <c r="D131" i="34"/>
  <c r="C131" i="34"/>
  <c r="F127" i="34"/>
  <c r="E127" i="34"/>
  <c r="D127" i="34"/>
  <c r="C127" i="34"/>
  <c r="M42" i="34"/>
  <c r="L42" i="34"/>
  <c r="K42" i="34"/>
  <c r="J42" i="34"/>
  <c r="I42" i="34"/>
  <c r="H42" i="34"/>
  <c r="G42" i="34"/>
  <c r="F42" i="34"/>
  <c r="E42" i="34"/>
  <c r="D42" i="34"/>
  <c r="L41" i="34"/>
  <c r="K41" i="34"/>
  <c r="J41" i="34"/>
  <c r="I41" i="34"/>
  <c r="H41" i="34"/>
  <c r="G41" i="34"/>
  <c r="F41" i="34"/>
  <c r="E41" i="34"/>
  <c r="D41" i="34"/>
  <c r="M40" i="34"/>
  <c r="L40" i="34"/>
  <c r="K40" i="34"/>
  <c r="J40" i="34"/>
  <c r="I40" i="34"/>
  <c r="H40" i="34"/>
  <c r="G40" i="34"/>
  <c r="F40" i="34"/>
  <c r="E40" i="34"/>
  <c r="D40" i="34"/>
  <c r="M39" i="34"/>
  <c r="L39" i="34"/>
  <c r="K39" i="34"/>
  <c r="J39" i="34"/>
  <c r="I39" i="34"/>
  <c r="H39" i="34"/>
  <c r="G39" i="34"/>
  <c r="F39" i="34"/>
  <c r="E39" i="34"/>
  <c r="D39" i="34"/>
  <c r="M38" i="34"/>
  <c r="L38" i="34"/>
  <c r="K38" i="34"/>
  <c r="J38" i="34"/>
  <c r="P38" i="34" s="1"/>
  <c r="I38" i="34"/>
  <c r="H38" i="34"/>
  <c r="G38" i="34"/>
  <c r="F38" i="34"/>
  <c r="E38" i="34"/>
  <c r="D38" i="34"/>
  <c r="O38" i="34" s="1"/>
  <c r="M37" i="34"/>
  <c r="L37" i="34"/>
  <c r="K37" i="34"/>
  <c r="J37" i="34"/>
  <c r="P37" i="34" s="1"/>
  <c r="I37" i="34"/>
  <c r="H37" i="34"/>
  <c r="G37" i="34"/>
  <c r="F37" i="34"/>
  <c r="E37" i="34"/>
  <c r="D37" i="34"/>
  <c r="O37" i="34" s="1"/>
  <c r="M36" i="34"/>
  <c r="L36" i="34"/>
  <c r="K36" i="34"/>
  <c r="J36" i="34"/>
  <c r="P36" i="34" s="1"/>
  <c r="I36" i="34"/>
  <c r="H36" i="34"/>
  <c r="G36" i="34"/>
  <c r="F36" i="34"/>
  <c r="E36" i="34"/>
  <c r="D36" i="34"/>
  <c r="O36" i="34" s="1"/>
  <c r="M35" i="34"/>
  <c r="L35" i="34"/>
  <c r="K35" i="34"/>
  <c r="J35" i="34"/>
  <c r="P35" i="34" s="1"/>
  <c r="I35" i="34"/>
  <c r="H35" i="34"/>
  <c r="G35" i="34"/>
  <c r="F35" i="34"/>
  <c r="E35" i="34"/>
  <c r="D35" i="34"/>
  <c r="O35" i="34" s="1"/>
  <c r="M34" i="34"/>
  <c r="L34" i="34"/>
  <c r="K34" i="34"/>
  <c r="J34" i="34"/>
  <c r="P34" i="34" s="1"/>
  <c r="I34" i="34"/>
  <c r="H34" i="34"/>
  <c r="G34" i="34"/>
  <c r="F34" i="34"/>
  <c r="E34" i="34"/>
  <c r="D34" i="34"/>
  <c r="O34" i="34" s="1"/>
  <c r="M33" i="34"/>
  <c r="L33" i="34"/>
  <c r="K33" i="34"/>
  <c r="J33" i="34"/>
  <c r="P33" i="34" s="1"/>
  <c r="I33" i="34"/>
  <c r="H33" i="34"/>
  <c r="G33" i="34"/>
  <c r="F33" i="34"/>
  <c r="E33" i="34"/>
  <c r="D33" i="34"/>
  <c r="O33" i="34" s="1"/>
  <c r="M32" i="34"/>
  <c r="L32" i="34"/>
  <c r="K32" i="34"/>
  <c r="J32" i="34"/>
  <c r="P32" i="34" s="1"/>
  <c r="I32" i="34"/>
  <c r="H32" i="34"/>
  <c r="G32" i="34"/>
  <c r="F32" i="34"/>
  <c r="E32" i="34"/>
  <c r="D32" i="34"/>
  <c r="O32" i="34" s="1"/>
  <c r="M31" i="34"/>
  <c r="L31" i="34"/>
  <c r="K31" i="34"/>
  <c r="J31" i="34"/>
  <c r="P31" i="34" s="1"/>
  <c r="I31" i="34"/>
  <c r="H31" i="34"/>
  <c r="G31" i="34"/>
  <c r="F31" i="34"/>
  <c r="E31" i="34"/>
  <c r="D31" i="34"/>
  <c r="O31" i="34" s="1"/>
  <c r="M30" i="34"/>
  <c r="L30" i="34"/>
  <c r="K30" i="34"/>
  <c r="J30" i="34"/>
  <c r="P30" i="34" s="1"/>
  <c r="I30" i="34"/>
  <c r="H30" i="34"/>
  <c r="G30" i="34"/>
  <c r="F30" i="34"/>
  <c r="E30" i="34"/>
  <c r="D30" i="34"/>
  <c r="O30" i="34" s="1"/>
  <c r="M29" i="34"/>
  <c r="L29" i="34"/>
  <c r="K29" i="34"/>
  <c r="J29" i="34"/>
  <c r="P29" i="34" s="1"/>
  <c r="I29" i="34"/>
  <c r="H29" i="34"/>
  <c r="G29" i="34"/>
  <c r="F29" i="34"/>
  <c r="E29" i="34"/>
  <c r="D29" i="34"/>
  <c r="O29" i="34" s="1"/>
  <c r="M28" i="34"/>
  <c r="L28" i="34"/>
  <c r="K28" i="34"/>
  <c r="J28" i="34"/>
  <c r="P28" i="34" s="1"/>
  <c r="I28" i="34"/>
  <c r="H28" i="34"/>
  <c r="G28" i="34"/>
  <c r="F28" i="34"/>
  <c r="E28" i="34"/>
  <c r="D28" i="34"/>
  <c r="O28" i="34" s="1"/>
  <c r="M27" i="34"/>
  <c r="L27" i="34"/>
  <c r="K27" i="34"/>
  <c r="J27" i="34"/>
  <c r="P27" i="34" s="1"/>
  <c r="I27" i="34"/>
  <c r="H27" i="34"/>
  <c r="G27" i="34"/>
  <c r="F27" i="34"/>
  <c r="E27" i="34"/>
  <c r="D27" i="34"/>
  <c r="M26" i="34"/>
  <c r="L26" i="34"/>
  <c r="K26" i="34"/>
  <c r="J26" i="34"/>
  <c r="P26" i="34" s="1"/>
  <c r="I26" i="34"/>
  <c r="H26" i="34"/>
  <c r="G26" i="34"/>
  <c r="F26" i="34"/>
  <c r="E26" i="34"/>
  <c r="D26" i="34"/>
  <c r="O26" i="34" s="1"/>
  <c r="M25" i="34"/>
  <c r="L25" i="34"/>
  <c r="K25" i="34"/>
  <c r="J25" i="34"/>
  <c r="P25" i="34" s="1"/>
  <c r="I25" i="34"/>
  <c r="H25" i="34"/>
  <c r="G25" i="34"/>
  <c r="F25" i="34"/>
  <c r="E25" i="34"/>
  <c r="D25" i="34"/>
  <c r="O25" i="34" s="1"/>
  <c r="M24" i="34"/>
  <c r="L24" i="34"/>
  <c r="K24" i="34"/>
  <c r="J24" i="34"/>
  <c r="P24" i="34" s="1"/>
  <c r="I24" i="34"/>
  <c r="H24" i="34"/>
  <c r="G24" i="34"/>
  <c r="F24" i="34"/>
  <c r="E24" i="34"/>
  <c r="D24" i="34"/>
  <c r="O24" i="34" s="1"/>
  <c r="M23" i="34"/>
  <c r="L23" i="34"/>
  <c r="K23" i="34"/>
  <c r="J23" i="34"/>
  <c r="P23" i="34" s="1"/>
  <c r="I23" i="34"/>
  <c r="H23" i="34"/>
  <c r="G23" i="34"/>
  <c r="F23" i="34"/>
  <c r="E23" i="34"/>
  <c r="D23" i="34"/>
  <c r="O23" i="34" s="1"/>
  <c r="M21" i="34"/>
  <c r="L21" i="34"/>
  <c r="K21" i="34"/>
  <c r="J21" i="34"/>
  <c r="P21" i="34" s="1"/>
  <c r="I21" i="34"/>
  <c r="H21" i="34"/>
  <c r="G21" i="34"/>
  <c r="F21" i="34"/>
  <c r="E21" i="34"/>
  <c r="D21" i="34"/>
  <c r="O21" i="34" s="1"/>
  <c r="M17" i="34"/>
  <c r="L17" i="34"/>
  <c r="K17" i="34"/>
  <c r="J17" i="34"/>
  <c r="P17" i="34" s="1"/>
  <c r="I17" i="34"/>
  <c r="H17" i="34"/>
  <c r="G17" i="34"/>
  <c r="F17" i="34"/>
  <c r="E17" i="34"/>
  <c r="D17" i="34"/>
  <c r="O17" i="34" s="1"/>
  <c r="M8" i="34"/>
  <c r="L8" i="34"/>
  <c r="K8" i="34"/>
  <c r="J8" i="34"/>
  <c r="P8" i="34" s="1"/>
  <c r="I8" i="34"/>
  <c r="H8" i="34"/>
  <c r="G8" i="34"/>
  <c r="F8" i="34"/>
  <c r="E8" i="34"/>
  <c r="D8" i="34"/>
  <c r="O8" i="34" s="1"/>
  <c r="N142" i="34"/>
  <c r="M142" i="34"/>
  <c r="L142" i="34"/>
  <c r="N139" i="34"/>
  <c r="M139" i="34"/>
  <c r="L139" i="34"/>
  <c r="B115" i="34"/>
  <c r="S90" i="34" s="1"/>
  <c r="F115" i="34" s="1"/>
  <c r="B153" i="34" s="1"/>
  <c r="F77" i="34"/>
  <c r="A77" i="34"/>
  <c r="K63" i="34"/>
  <c r="F63" i="34"/>
  <c r="B63" i="34"/>
  <c r="A51" i="34"/>
  <c r="A50" i="34"/>
  <c r="K49" i="34"/>
  <c r="A49" i="34"/>
  <c r="P42" i="34"/>
  <c r="O42" i="34"/>
  <c r="P41" i="34"/>
  <c r="O41" i="34"/>
  <c r="P40" i="34"/>
  <c r="O40" i="34"/>
  <c r="P39" i="34"/>
  <c r="O39" i="34"/>
  <c r="P22" i="34"/>
  <c r="O22" i="34"/>
  <c r="P20" i="34"/>
  <c r="O20" i="34"/>
  <c r="P19" i="34"/>
  <c r="O19" i="34"/>
  <c r="P18" i="34"/>
  <c r="O18" i="34"/>
  <c r="P16" i="34"/>
  <c r="O16" i="34"/>
  <c r="P15" i="34"/>
  <c r="O15" i="34"/>
  <c r="P14" i="34"/>
  <c r="O14" i="34"/>
  <c r="P13" i="34"/>
  <c r="O13" i="34"/>
  <c r="P12" i="34"/>
  <c r="O12" i="34"/>
  <c r="P11" i="34"/>
  <c r="O11" i="34"/>
  <c r="P10" i="34"/>
  <c r="O10" i="34"/>
  <c r="P9" i="34"/>
  <c r="O9" i="34"/>
  <c r="P7" i="34"/>
  <c r="O7" i="34"/>
  <c r="P6" i="34"/>
  <c r="O6" i="34"/>
  <c r="P5" i="34"/>
  <c r="O5" i="34"/>
  <c r="P4" i="34"/>
  <c r="O4" i="34"/>
  <c r="P3" i="34"/>
  <c r="O3" i="34"/>
  <c r="P2" i="34"/>
  <c r="O2" i="34"/>
  <c r="P43" i="34"/>
  <c r="P90" i="34" s="1"/>
  <c r="P153" i="34" s="1"/>
  <c r="F143" i="33"/>
  <c r="E143" i="33"/>
  <c r="N142" i="33" s="1"/>
  <c r="D143" i="33"/>
  <c r="C143" i="33"/>
  <c r="F142" i="33"/>
  <c r="E142" i="33"/>
  <c r="N141" i="33" s="1"/>
  <c r="D142" i="33"/>
  <c r="M141" i="33" s="1"/>
  <c r="C142" i="33"/>
  <c r="L141" i="33" s="1"/>
  <c r="F141" i="33"/>
  <c r="E141" i="33"/>
  <c r="N140" i="33" s="1"/>
  <c r="D141" i="33"/>
  <c r="M140" i="33" s="1"/>
  <c r="C141" i="33"/>
  <c r="L140" i="33" s="1"/>
  <c r="F140" i="33"/>
  <c r="E140" i="33"/>
  <c r="D140" i="33"/>
  <c r="C140" i="33"/>
  <c r="F139" i="33"/>
  <c r="E139" i="33"/>
  <c r="D139" i="33"/>
  <c r="C139" i="33"/>
  <c r="F136" i="33"/>
  <c r="E136" i="33"/>
  <c r="D136" i="33"/>
  <c r="C136" i="33"/>
  <c r="F135" i="33"/>
  <c r="E135" i="33"/>
  <c r="D135" i="33"/>
  <c r="C135" i="33"/>
  <c r="F134" i="33"/>
  <c r="E134" i="33"/>
  <c r="D134" i="33"/>
  <c r="C134" i="33"/>
  <c r="F133" i="33"/>
  <c r="E133" i="33"/>
  <c r="D133" i="33"/>
  <c r="C133" i="33"/>
  <c r="F131" i="33"/>
  <c r="E131" i="33"/>
  <c r="D131" i="33"/>
  <c r="C131" i="33"/>
  <c r="F127" i="33"/>
  <c r="E127" i="33"/>
  <c r="D127" i="33"/>
  <c r="C127" i="33"/>
  <c r="M42" i="33"/>
  <c r="L42" i="33"/>
  <c r="K42" i="33"/>
  <c r="J42" i="33"/>
  <c r="I42" i="33"/>
  <c r="H42" i="33"/>
  <c r="G42" i="33"/>
  <c r="F42" i="33"/>
  <c r="E42" i="33"/>
  <c r="D42" i="33"/>
  <c r="M41" i="33"/>
  <c r="L41" i="33"/>
  <c r="K41" i="33"/>
  <c r="J41" i="33"/>
  <c r="I41" i="33"/>
  <c r="H41" i="33"/>
  <c r="G41" i="33"/>
  <c r="F41" i="33"/>
  <c r="E41" i="33"/>
  <c r="D41" i="33"/>
  <c r="M40" i="33"/>
  <c r="L40" i="33"/>
  <c r="K40" i="33"/>
  <c r="J40" i="33"/>
  <c r="I40" i="33"/>
  <c r="H40" i="33"/>
  <c r="G40" i="33"/>
  <c r="F40" i="33"/>
  <c r="E40" i="33"/>
  <c r="D40" i="33"/>
  <c r="M39" i="33"/>
  <c r="L39" i="33"/>
  <c r="K39" i="33"/>
  <c r="J39" i="33"/>
  <c r="I39" i="33"/>
  <c r="H39" i="33"/>
  <c r="G39" i="33"/>
  <c r="F39" i="33"/>
  <c r="E39" i="33"/>
  <c r="D39" i="33"/>
  <c r="M38" i="33"/>
  <c r="L38" i="33"/>
  <c r="K38" i="33"/>
  <c r="J38" i="33"/>
  <c r="P38" i="33" s="1"/>
  <c r="I38" i="33"/>
  <c r="H38" i="33"/>
  <c r="G38" i="33"/>
  <c r="F38" i="33"/>
  <c r="E38" i="33"/>
  <c r="D38" i="33"/>
  <c r="O38" i="33" s="1"/>
  <c r="M37" i="33"/>
  <c r="L37" i="33"/>
  <c r="K37" i="33"/>
  <c r="J37" i="33"/>
  <c r="P37" i="33" s="1"/>
  <c r="I37" i="33"/>
  <c r="H37" i="33"/>
  <c r="G37" i="33"/>
  <c r="F37" i="33"/>
  <c r="E37" i="33"/>
  <c r="D37" i="33"/>
  <c r="O37" i="33" s="1"/>
  <c r="M36" i="33"/>
  <c r="L36" i="33"/>
  <c r="K36" i="33"/>
  <c r="J36" i="33"/>
  <c r="P36" i="33" s="1"/>
  <c r="I36" i="33"/>
  <c r="H36" i="33"/>
  <c r="G36" i="33"/>
  <c r="F36" i="33"/>
  <c r="E36" i="33"/>
  <c r="D36" i="33"/>
  <c r="O36" i="33" s="1"/>
  <c r="M35" i="33"/>
  <c r="L35" i="33"/>
  <c r="K35" i="33"/>
  <c r="J35" i="33"/>
  <c r="P35" i="33" s="1"/>
  <c r="I35" i="33"/>
  <c r="H35" i="33"/>
  <c r="G35" i="33"/>
  <c r="F35" i="33"/>
  <c r="E35" i="33"/>
  <c r="D35" i="33"/>
  <c r="O35" i="33" s="1"/>
  <c r="M34" i="33"/>
  <c r="L34" i="33"/>
  <c r="K34" i="33"/>
  <c r="J34" i="33"/>
  <c r="P34" i="33" s="1"/>
  <c r="I34" i="33"/>
  <c r="H34" i="33"/>
  <c r="G34" i="33"/>
  <c r="F34" i="33"/>
  <c r="E34" i="33"/>
  <c r="D34" i="33"/>
  <c r="O34" i="33" s="1"/>
  <c r="M33" i="33"/>
  <c r="L33" i="33"/>
  <c r="K33" i="33"/>
  <c r="J33" i="33"/>
  <c r="P33" i="33" s="1"/>
  <c r="I33" i="33"/>
  <c r="H33" i="33"/>
  <c r="G33" i="33"/>
  <c r="F33" i="33"/>
  <c r="E33" i="33"/>
  <c r="D33" i="33"/>
  <c r="O33" i="33" s="1"/>
  <c r="M32" i="33"/>
  <c r="L32" i="33"/>
  <c r="K32" i="33"/>
  <c r="J32" i="33"/>
  <c r="P32" i="33" s="1"/>
  <c r="I32" i="33"/>
  <c r="H32" i="33"/>
  <c r="G32" i="33"/>
  <c r="F32" i="33"/>
  <c r="E32" i="33"/>
  <c r="D32" i="33"/>
  <c r="O32" i="33" s="1"/>
  <c r="M31" i="33"/>
  <c r="L31" i="33"/>
  <c r="K31" i="33"/>
  <c r="J31" i="33"/>
  <c r="P31" i="33" s="1"/>
  <c r="I31" i="33"/>
  <c r="H31" i="33"/>
  <c r="G31" i="33"/>
  <c r="F31" i="33"/>
  <c r="E31" i="33"/>
  <c r="D31" i="33"/>
  <c r="O31" i="33" s="1"/>
  <c r="M30" i="33"/>
  <c r="L30" i="33"/>
  <c r="K30" i="33"/>
  <c r="J30" i="33"/>
  <c r="P30" i="33" s="1"/>
  <c r="I30" i="33"/>
  <c r="H30" i="33"/>
  <c r="G30" i="33"/>
  <c r="F30" i="33"/>
  <c r="E30" i="33"/>
  <c r="D30" i="33"/>
  <c r="O30" i="33" s="1"/>
  <c r="M29" i="33"/>
  <c r="L29" i="33"/>
  <c r="K29" i="33"/>
  <c r="J29" i="33"/>
  <c r="P29" i="33" s="1"/>
  <c r="I29" i="33"/>
  <c r="H29" i="33"/>
  <c r="G29" i="33"/>
  <c r="F29" i="33"/>
  <c r="E29" i="33"/>
  <c r="D29" i="33"/>
  <c r="O29" i="33" s="1"/>
  <c r="M28" i="33"/>
  <c r="L28" i="33"/>
  <c r="K28" i="33"/>
  <c r="J28" i="33"/>
  <c r="P28" i="33" s="1"/>
  <c r="I28" i="33"/>
  <c r="H28" i="33"/>
  <c r="G28" i="33"/>
  <c r="F28" i="33"/>
  <c r="E28" i="33"/>
  <c r="D28" i="33"/>
  <c r="O28" i="33" s="1"/>
  <c r="M27" i="33"/>
  <c r="L27" i="33"/>
  <c r="K27" i="33"/>
  <c r="J27" i="33"/>
  <c r="P27" i="33" s="1"/>
  <c r="I27" i="33"/>
  <c r="H27" i="33"/>
  <c r="G27" i="33"/>
  <c r="F27" i="33"/>
  <c r="E27" i="33"/>
  <c r="D27" i="33"/>
  <c r="O27" i="33" s="1"/>
  <c r="M26" i="33"/>
  <c r="L26" i="33"/>
  <c r="K26" i="33"/>
  <c r="J26" i="33"/>
  <c r="P26" i="33" s="1"/>
  <c r="I26" i="33"/>
  <c r="H26" i="33"/>
  <c r="G26" i="33"/>
  <c r="F26" i="33"/>
  <c r="E26" i="33"/>
  <c r="D26" i="33"/>
  <c r="M25" i="33"/>
  <c r="L25" i="33"/>
  <c r="K25" i="33"/>
  <c r="J25" i="33"/>
  <c r="P25" i="33" s="1"/>
  <c r="I25" i="33"/>
  <c r="H25" i="33"/>
  <c r="G25" i="33"/>
  <c r="F25" i="33"/>
  <c r="E25" i="33"/>
  <c r="D25" i="33"/>
  <c r="O25" i="33" s="1"/>
  <c r="M24" i="33"/>
  <c r="L24" i="33"/>
  <c r="K24" i="33"/>
  <c r="J24" i="33"/>
  <c r="P24" i="33" s="1"/>
  <c r="I24" i="33"/>
  <c r="H24" i="33"/>
  <c r="G24" i="33"/>
  <c r="F24" i="33"/>
  <c r="E24" i="33"/>
  <c r="D24" i="33"/>
  <c r="O24" i="33" s="1"/>
  <c r="M23" i="33"/>
  <c r="L23" i="33"/>
  <c r="K23" i="33"/>
  <c r="J23" i="33"/>
  <c r="P23" i="33" s="1"/>
  <c r="I23" i="33"/>
  <c r="H23" i="33"/>
  <c r="G23" i="33"/>
  <c r="F23" i="33"/>
  <c r="E23" i="33"/>
  <c r="D23" i="33"/>
  <c r="O23" i="33" s="1"/>
  <c r="M21" i="33"/>
  <c r="L21" i="33"/>
  <c r="K21" i="33"/>
  <c r="J21" i="33"/>
  <c r="P21" i="33" s="1"/>
  <c r="I21" i="33"/>
  <c r="H21" i="33"/>
  <c r="G21" i="33"/>
  <c r="F21" i="33"/>
  <c r="E21" i="33"/>
  <c r="D21" i="33"/>
  <c r="O21" i="33" s="1"/>
  <c r="M17" i="33"/>
  <c r="L17" i="33"/>
  <c r="K17" i="33"/>
  <c r="J17" i="33"/>
  <c r="P17" i="33" s="1"/>
  <c r="I17" i="33"/>
  <c r="H17" i="33"/>
  <c r="G17" i="33"/>
  <c r="F17" i="33"/>
  <c r="E17" i="33"/>
  <c r="D17" i="33"/>
  <c r="O17" i="33" s="1"/>
  <c r="M8" i="33"/>
  <c r="L8" i="33"/>
  <c r="K8" i="33"/>
  <c r="J8" i="33"/>
  <c r="P8" i="33" s="1"/>
  <c r="I8" i="33"/>
  <c r="H8" i="33"/>
  <c r="G8" i="33"/>
  <c r="F8" i="33"/>
  <c r="E8" i="33"/>
  <c r="D8" i="33"/>
  <c r="O8" i="33" s="1"/>
  <c r="M142" i="33"/>
  <c r="L142" i="33"/>
  <c r="N139" i="33"/>
  <c r="M139" i="33"/>
  <c r="L139" i="33"/>
  <c r="B115" i="33"/>
  <c r="B90" i="33" s="1"/>
  <c r="B43" i="33" s="1"/>
  <c r="F77" i="33"/>
  <c r="A77" i="33"/>
  <c r="K63" i="33"/>
  <c r="F63" i="33"/>
  <c r="B63" i="33"/>
  <c r="A51" i="33"/>
  <c r="A50" i="33"/>
  <c r="K49" i="33"/>
  <c r="A49" i="33"/>
  <c r="P42" i="33"/>
  <c r="O42" i="33"/>
  <c r="P41" i="33"/>
  <c r="O41" i="33"/>
  <c r="P40" i="33"/>
  <c r="O40" i="33"/>
  <c r="P39" i="33"/>
  <c r="O39" i="33"/>
  <c r="P22" i="33"/>
  <c r="O22" i="33"/>
  <c r="P20" i="33"/>
  <c r="O20" i="33"/>
  <c r="P19" i="33"/>
  <c r="O19" i="33"/>
  <c r="P18" i="33"/>
  <c r="O18" i="33"/>
  <c r="P16" i="33"/>
  <c r="O16" i="33"/>
  <c r="P15" i="33"/>
  <c r="O15" i="33"/>
  <c r="P14" i="33"/>
  <c r="O14" i="33"/>
  <c r="P13" i="33"/>
  <c r="O13" i="33"/>
  <c r="P12" i="33"/>
  <c r="O12" i="33"/>
  <c r="P11" i="33"/>
  <c r="O11" i="33"/>
  <c r="P10" i="33"/>
  <c r="O10" i="33"/>
  <c r="P9" i="33"/>
  <c r="O9" i="33"/>
  <c r="P7" i="33"/>
  <c r="O7" i="33"/>
  <c r="P6" i="33"/>
  <c r="O6" i="33"/>
  <c r="P5" i="33"/>
  <c r="O5" i="33"/>
  <c r="P4" i="33"/>
  <c r="O4" i="33"/>
  <c r="P3" i="33"/>
  <c r="O3" i="33"/>
  <c r="P2" i="33"/>
  <c r="O2" i="33"/>
  <c r="P43" i="33"/>
  <c r="P90" i="33" s="1"/>
  <c r="P153" i="33" s="1"/>
  <c r="F143" i="32"/>
  <c r="E143" i="32"/>
  <c r="N142" i="32" s="1"/>
  <c r="D143" i="32"/>
  <c r="M142" i="32" s="1"/>
  <c r="C143" i="32"/>
  <c r="L142" i="32" s="1"/>
  <c r="F142" i="32"/>
  <c r="E142" i="32"/>
  <c r="N141" i="32" s="1"/>
  <c r="D142" i="32"/>
  <c r="M141" i="32" s="1"/>
  <c r="C142" i="32"/>
  <c r="L141" i="32" s="1"/>
  <c r="F141" i="32"/>
  <c r="E141" i="32"/>
  <c r="N140" i="32" s="1"/>
  <c r="D141" i="32"/>
  <c r="M140" i="32" s="1"/>
  <c r="C141" i="32"/>
  <c r="L140" i="32" s="1"/>
  <c r="F140" i="32"/>
  <c r="E140" i="32"/>
  <c r="D140" i="32"/>
  <c r="C140" i="32"/>
  <c r="F139" i="32"/>
  <c r="E139" i="32"/>
  <c r="D139" i="32"/>
  <c r="C139" i="32"/>
  <c r="F136" i="32"/>
  <c r="E136" i="32"/>
  <c r="D136" i="32"/>
  <c r="C136" i="32"/>
  <c r="F135" i="32"/>
  <c r="E135" i="32"/>
  <c r="D135" i="32"/>
  <c r="C135" i="32"/>
  <c r="F134" i="32"/>
  <c r="E134" i="32"/>
  <c r="D134" i="32"/>
  <c r="C134" i="32"/>
  <c r="F133" i="32"/>
  <c r="E133" i="32"/>
  <c r="D133" i="32"/>
  <c r="C133" i="32"/>
  <c r="F131" i="32"/>
  <c r="E131" i="32"/>
  <c r="D131" i="32"/>
  <c r="C131" i="32"/>
  <c r="F127" i="32"/>
  <c r="E127" i="32"/>
  <c r="D127" i="32"/>
  <c r="C127" i="32"/>
  <c r="M42" i="32"/>
  <c r="L42" i="32"/>
  <c r="K42" i="32"/>
  <c r="J42" i="32"/>
  <c r="I42" i="32"/>
  <c r="H42" i="32"/>
  <c r="G42" i="32"/>
  <c r="F42" i="32"/>
  <c r="E42" i="32"/>
  <c r="D42" i="32"/>
  <c r="J41" i="32"/>
  <c r="I41" i="32"/>
  <c r="H41" i="32"/>
  <c r="G41" i="32"/>
  <c r="F41" i="32"/>
  <c r="E41" i="32"/>
  <c r="D41" i="32"/>
  <c r="M40" i="32"/>
  <c r="J40" i="32"/>
  <c r="I40" i="32"/>
  <c r="H40" i="32"/>
  <c r="G40" i="32"/>
  <c r="F40" i="32"/>
  <c r="E40" i="32"/>
  <c r="D40" i="32"/>
  <c r="M39" i="32"/>
  <c r="L39" i="32"/>
  <c r="K39" i="32"/>
  <c r="J39" i="32"/>
  <c r="I39" i="32"/>
  <c r="H39" i="32"/>
  <c r="G39" i="32"/>
  <c r="F39" i="32"/>
  <c r="E39" i="32"/>
  <c r="D39" i="32"/>
  <c r="M38" i="32"/>
  <c r="L38" i="32"/>
  <c r="K38" i="32"/>
  <c r="J38" i="32"/>
  <c r="P38" i="32" s="1"/>
  <c r="I38" i="32"/>
  <c r="H38" i="32"/>
  <c r="G38" i="32"/>
  <c r="F38" i="32"/>
  <c r="E38" i="32"/>
  <c r="D38" i="32"/>
  <c r="O38" i="32" s="1"/>
  <c r="M37" i="32"/>
  <c r="L37" i="32"/>
  <c r="K37" i="32"/>
  <c r="J37" i="32"/>
  <c r="P37" i="32" s="1"/>
  <c r="I37" i="32"/>
  <c r="H37" i="32"/>
  <c r="G37" i="32"/>
  <c r="F37" i="32"/>
  <c r="E37" i="32"/>
  <c r="D37" i="32"/>
  <c r="O37" i="32" s="1"/>
  <c r="M36" i="32"/>
  <c r="L36" i="32"/>
  <c r="K36" i="32"/>
  <c r="J36" i="32"/>
  <c r="P36" i="32" s="1"/>
  <c r="I36" i="32"/>
  <c r="H36" i="32"/>
  <c r="G36" i="32"/>
  <c r="F36" i="32"/>
  <c r="E36" i="32"/>
  <c r="D36" i="32"/>
  <c r="O36" i="32" s="1"/>
  <c r="M35" i="32"/>
  <c r="L35" i="32"/>
  <c r="K35" i="32"/>
  <c r="J35" i="32"/>
  <c r="P35" i="32" s="1"/>
  <c r="I35" i="32"/>
  <c r="H35" i="32"/>
  <c r="G35" i="32"/>
  <c r="F35" i="32"/>
  <c r="E35" i="32"/>
  <c r="D35" i="32"/>
  <c r="O35" i="32" s="1"/>
  <c r="M34" i="32"/>
  <c r="L34" i="32"/>
  <c r="K34" i="32"/>
  <c r="J34" i="32"/>
  <c r="P34" i="32" s="1"/>
  <c r="I34" i="32"/>
  <c r="H34" i="32"/>
  <c r="G34" i="32"/>
  <c r="F34" i="32"/>
  <c r="E34" i="32"/>
  <c r="D34" i="32"/>
  <c r="O34" i="32" s="1"/>
  <c r="M33" i="32"/>
  <c r="L33" i="32"/>
  <c r="K33" i="32"/>
  <c r="J33" i="32"/>
  <c r="P33" i="32" s="1"/>
  <c r="I33" i="32"/>
  <c r="H33" i="32"/>
  <c r="G33" i="32"/>
  <c r="F33" i="32"/>
  <c r="E33" i="32"/>
  <c r="D33" i="32"/>
  <c r="O33" i="32" s="1"/>
  <c r="M32" i="32"/>
  <c r="L32" i="32"/>
  <c r="K32" i="32"/>
  <c r="J32" i="32"/>
  <c r="P32" i="32" s="1"/>
  <c r="I32" i="32"/>
  <c r="H32" i="32"/>
  <c r="G32" i="32"/>
  <c r="F32" i="32"/>
  <c r="E32" i="32"/>
  <c r="D32" i="32"/>
  <c r="O32" i="32" s="1"/>
  <c r="M31" i="32"/>
  <c r="L31" i="32"/>
  <c r="K31" i="32"/>
  <c r="J31" i="32"/>
  <c r="P31" i="32" s="1"/>
  <c r="I31" i="32"/>
  <c r="H31" i="32"/>
  <c r="G31" i="32"/>
  <c r="F31" i="32"/>
  <c r="E31" i="32"/>
  <c r="D31" i="32"/>
  <c r="O31" i="32" s="1"/>
  <c r="M30" i="32"/>
  <c r="L30" i="32"/>
  <c r="K30" i="32"/>
  <c r="J30" i="32"/>
  <c r="P30" i="32" s="1"/>
  <c r="I30" i="32"/>
  <c r="H30" i="32"/>
  <c r="G30" i="32"/>
  <c r="F30" i="32"/>
  <c r="E30" i="32"/>
  <c r="D30" i="32"/>
  <c r="O30" i="32" s="1"/>
  <c r="M29" i="32"/>
  <c r="L29" i="32"/>
  <c r="K29" i="32"/>
  <c r="J29" i="32"/>
  <c r="P29" i="32" s="1"/>
  <c r="I29" i="32"/>
  <c r="H29" i="32"/>
  <c r="G29" i="32"/>
  <c r="F29" i="32"/>
  <c r="E29" i="32"/>
  <c r="D29" i="32"/>
  <c r="O29" i="32" s="1"/>
  <c r="M28" i="32"/>
  <c r="L28" i="32"/>
  <c r="K28" i="32"/>
  <c r="J28" i="32"/>
  <c r="P28" i="32" s="1"/>
  <c r="I28" i="32"/>
  <c r="H28" i="32"/>
  <c r="G28" i="32"/>
  <c r="F28" i="32"/>
  <c r="E28" i="32"/>
  <c r="D28" i="32"/>
  <c r="O28" i="32" s="1"/>
  <c r="M27" i="32"/>
  <c r="L27" i="32"/>
  <c r="K27" i="32"/>
  <c r="J27" i="32"/>
  <c r="P27" i="32" s="1"/>
  <c r="I27" i="32"/>
  <c r="H27" i="32"/>
  <c r="G27" i="32"/>
  <c r="F27" i="32"/>
  <c r="E27" i="32"/>
  <c r="D27" i="32"/>
  <c r="O27" i="32" s="1"/>
  <c r="M26" i="32"/>
  <c r="L26" i="32"/>
  <c r="K26" i="32"/>
  <c r="J26" i="32"/>
  <c r="P26" i="32" s="1"/>
  <c r="I26" i="32"/>
  <c r="H26" i="32"/>
  <c r="G26" i="32"/>
  <c r="F26" i="32"/>
  <c r="E26" i="32"/>
  <c r="D26" i="32"/>
  <c r="O26" i="32" s="1"/>
  <c r="M25" i="32"/>
  <c r="L25" i="32"/>
  <c r="K25" i="32"/>
  <c r="J25" i="32"/>
  <c r="P25" i="32" s="1"/>
  <c r="I25" i="32"/>
  <c r="H25" i="32"/>
  <c r="G25" i="32"/>
  <c r="F25" i="32"/>
  <c r="E25" i="32"/>
  <c r="D25" i="32"/>
  <c r="O25" i="32" s="1"/>
  <c r="M24" i="32"/>
  <c r="L24" i="32"/>
  <c r="K24" i="32"/>
  <c r="J24" i="32"/>
  <c r="P24" i="32" s="1"/>
  <c r="I24" i="32"/>
  <c r="H24" i="32"/>
  <c r="G24" i="32"/>
  <c r="F24" i="32"/>
  <c r="E24" i="32"/>
  <c r="D24" i="32"/>
  <c r="O24" i="32" s="1"/>
  <c r="M23" i="32"/>
  <c r="L23" i="32"/>
  <c r="K23" i="32"/>
  <c r="J23" i="32"/>
  <c r="P23" i="32" s="1"/>
  <c r="I23" i="32"/>
  <c r="H23" i="32"/>
  <c r="G23" i="32"/>
  <c r="F23" i="32"/>
  <c r="E23" i="32"/>
  <c r="D23" i="32"/>
  <c r="O23" i="32" s="1"/>
  <c r="M21" i="32"/>
  <c r="L21" i="32"/>
  <c r="K21" i="32"/>
  <c r="J21" i="32"/>
  <c r="P21" i="32" s="1"/>
  <c r="I21" i="32"/>
  <c r="H21" i="32"/>
  <c r="G21" i="32"/>
  <c r="F21" i="32"/>
  <c r="E21" i="32"/>
  <c r="D21" i="32"/>
  <c r="O21" i="32" s="1"/>
  <c r="M17" i="32"/>
  <c r="L17" i="32"/>
  <c r="K17" i="32"/>
  <c r="J17" i="32"/>
  <c r="P17" i="32" s="1"/>
  <c r="I17" i="32"/>
  <c r="H17" i="32"/>
  <c r="G17" i="32"/>
  <c r="F17" i="32"/>
  <c r="E17" i="32"/>
  <c r="D17" i="32"/>
  <c r="O17" i="32" s="1"/>
  <c r="M8" i="32"/>
  <c r="L8" i="32"/>
  <c r="K8" i="32"/>
  <c r="J8" i="32"/>
  <c r="P8" i="32" s="1"/>
  <c r="I8" i="32"/>
  <c r="H8" i="32"/>
  <c r="G8" i="32"/>
  <c r="F8" i="32"/>
  <c r="E8" i="32"/>
  <c r="D8" i="32"/>
  <c r="O8" i="32" s="1"/>
  <c r="N139" i="32"/>
  <c r="M139" i="32"/>
  <c r="L139" i="32"/>
  <c r="B115" i="32"/>
  <c r="S90" i="32" s="1"/>
  <c r="F115" i="32" s="1"/>
  <c r="B153" i="32" s="1"/>
  <c r="F77" i="32"/>
  <c r="A77" i="32"/>
  <c r="K63" i="32"/>
  <c r="F63" i="32"/>
  <c r="B63" i="32"/>
  <c r="A51" i="32"/>
  <c r="A50" i="32"/>
  <c r="K49" i="32"/>
  <c r="A49" i="32"/>
  <c r="P42" i="32"/>
  <c r="O42" i="32"/>
  <c r="P41" i="32"/>
  <c r="O41" i="32"/>
  <c r="P40" i="32"/>
  <c r="O40" i="32"/>
  <c r="P39" i="32"/>
  <c r="O39" i="32"/>
  <c r="P22" i="32"/>
  <c r="O22" i="32"/>
  <c r="P20" i="32"/>
  <c r="O20" i="32"/>
  <c r="P19" i="32"/>
  <c r="O19" i="32"/>
  <c r="P18" i="32"/>
  <c r="O18" i="32"/>
  <c r="P16" i="32"/>
  <c r="O16" i="32"/>
  <c r="P15" i="32"/>
  <c r="O15" i="32"/>
  <c r="P14" i="32"/>
  <c r="O14" i="32"/>
  <c r="P13" i="32"/>
  <c r="O13" i="32"/>
  <c r="P12" i="32"/>
  <c r="O12" i="32"/>
  <c r="P11" i="32"/>
  <c r="O11" i="32"/>
  <c r="P10" i="32"/>
  <c r="O10" i="32"/>
  <c r="P9" i="32"/>
  <c r="O9" i="32"/>
  <c r="P7" i="32"/>
  <c r="O7" i="32"/>
  <c r="P6" i="32"/>
  <c r="O6" i="32"/>
  <c r="P5" i="32"/>
  <c r="O5" i="32"/>
  <c r="P4" i="32"/>
  <c r="O4" i="32"/>
  <c r="P3" i="32"/>
  <c r="O3" i="32"/>
  <c r="P2" i="32"/>
  <c r="O2" i="32"/>
  <c r="P43" i="32"/>
  <c r="P90" i="32" s="1"/>
  <c r="P153" i="32" s="1"/>
  <c r="F143" i="31"/>
  <c r="E143" i="31"/>
  <c r="N142" i="31" s="1"/>
  <c r="D143" i="31"/>
  <c r="M142" i="31" s="1"/>
  <c r="C143" i="31"/>
  <c r="L142" i="31" s="1"/>
  <c r="F142" i="31"/>
  <c r="E142" i="31"/>
  <c r="N141" i="31" s="1"/>
  <c r="D142" i="31"/>
  <c r="M141" i="31" s="1"/>
  <c r="C142" i="31"/>
  <c r="L141" i="31" s="1"/>
  <c r="F141" i="31"/>
  <c r="E141" i="31"/>
  <c r="N140" i="31" s="1"/>
  <c r="D141" i="31"/>
  <c r="M140" i="31" s="1"/>
  <c r="C141" i="31"/>
  <c r="L140" i="31" s="1"/>
  <c r="F140" i="31"/>
  <c r="E140" i="31"/>
  <c r="D140" i="31"/>
  <c r="C140" i="31"/>
  <c r="F139" i="31"/>
  <c r="E139" i="31"/>
  <c r="D139" i="31"/>
  <c r="C139" i="31"/>
  <c r="F136" i="31"/>
  <c r="E136" i="31"/>
  <c r="D136" i="31"/>
  <c r="C136" i="31"/>
  <c r="F135" i="31"/>
  <c r="E135" i="31"/>
  <c r="D135" i="31"/>
  <c r="C135" i="31"/>
  <c r="F134" i="31"/>
  <c r="E134" i="31"/>
  <c r="D134" i="31"/>
  <c r="C134" i="31"/>
  <c r="F133" i="31"/>
  <c r="E133" i="31"/>
  <c r="D133" i="31"/>
  <c r="C133" i="31"/>
  <c r="F131" i="31"/>
  <c r="E131" i="31"/>
  <c r="D131" i="31"/>
  <c r="C131" i="31"/>
  <c r="F127" i="31"/>
  <c r="E127" i="31"/>
  <c r="D127" i="31"/>
  <c r="C127" i="31"/>
  <c r="M42" i="31"/>
  <c r="L42" i="31"/>
  <c r="K42" i="31"/>
  <c r="J42" i="31"/>
  <c r="I42" i="31"/>
  <c r="H42" i="31"/>
  <c r="G42" i="31"/>
  <c r="F42" i="31"/>
  <c r="E42" i="31"/>
  <c r="D42" i="31"/>
  <c r="M41" i="31"/>
  <c r="L41" i="31"/>
  <c r="K41" i="31"/>
  <c r="J41" i="31"/>
  <c r="I41" i="31"/>
  <c r="H41" i="31"/>
  <c r="G41" i="31"/>
  <c r="F41" i="31"/>
  <c r="E41" i="31"/>
  <c r="D41" i="31"/>
  <c r="M40" i="31"/>
  <c r="L40" i="31"/>
  <c r="K40" i="31"/>
  <c r="J40" i="31"/>
  <c r="I40" i="31"/>
  <c r="H40" i="31"/>
  <c r="G40" i="31"/>
  <c r="F40" i="31"/>
  <c r="E40" i="31"/>
  <c r="D40" i="31"/>
  <c r="M39" i="31"/>
  <c r="L39" i="31"/>
  <c r="K39" i="31"/>
  <c r="J39" i="31"/>
  <c r="I39" i="31"/>
  <c r="H39" i="31"/>
  <c r="G39" i="31"/>
  <c r="F39" i="31"/>
  <c r="E39" i="31"/>
  <c r="D39" i="31"/>
  <c r="M38" i="31"/>
  <c r="L38" i="31"/>
  <c r="K38" i="31"/>
  <c r="J38" i="31"/>
  <c r="P38" i="31" s="1"/>
  <c r="I38" i="31"/>
  <c r="H38" i="31"/>
  <c r="G38" i="31"/>
  <c r="F38" i="31"/>
  <c r="E38" i="31"/>
  <c r="D38" i="31"/>
  <c r="O38" i="31" s="1"/>
  <c r="M37" i="31"/>
  <c r="L37" i="31"/>
  <c r="K37" i="31"/>
  <c r="J37" i="31"/>
  <c r="P37" i="31" s="1"/>
  <c r="I37" i="31"/>
  <c r="H37" i="31"/>
  <c r="G37" i="31"/>
  <c r="F37" i="31"/>
  <c r="E37" i="31"/>
  <c r="D37" i="31"/>
  <c r="M36" i="31"/>
  <c r="L36" i="31"/>
  <c r="K36" i="31"/>
  <c r="J36" i="31"/>
  <c r="P36" i="31" s="1"/>
  <c r="I36" i="31"/>
  <c r="H36" i="31"/>
  <c r="G36" i="31"/>
  <c r="F36" i="31"/>
  <c r="E36" i="31"/>
  <c r="D36" i="31"/>
  <c r="O36" i="31" s="1"/>
  <c r="M35" i="31"/>
  <c r="L35" i="31"/>
  <c r="K35" i="31"/>
  <c r="J35" i="31"/>
  <c r="P35" i="31" s="1"/>
  <c r="I35" i="31"/>
  <c r="H35" i="31"/>
  <c r="G35" i="31"/>
  <c r="F35" i="31"/>
  <c r="E35" i="31"/>
  <c r="D35" i="31"/>
  <c r="O35" i="31" s="1"/>
  <c r="M34" i="31"/>
  <c r="L34" i="31"/>
  <c r="K34" i="31"/>
  <c r="J34" i="31"/>
  <c r="P34" i="31" s="1"/>
  <c r="I34" i="31"/>
  <c r="H34" i="31"/>
  <c r="G34" i="31"/>
  <c r="F34" i="31"/>
  <c r="E34" i="31"/>
  <c r="D34" i="31"/>
  <c r="O34" i="31" s="1"/>
  <c r="M33" i="31"/>
  <c r="L33" i="31"/>
  <c r="K33" i="31"/>
  <c r="J33" i="31"/>
  <c r="P33" i="31" s="1"/>
  <c r="I33" i="31"/>
  <c r="H33" i="31"/>
  <c r="G33" i="31"/>
  <c r="F33" i="31"/>
  <c r="E33" i="31"/>
  <c r="D33" i="31"/>
  <c r="O33" i="31" s="1"/>
  <c r="M32" i="31"/>
  <c r="L32" i="31"/>
  <c r="K32" i="31"/>
  <c r="J32" i="31"/>
  <c r="P32" i="31" s="1"/>
  <c r="I32" i="31"/>
  <c r="H32" i="31"/>
  <c r="G32" i="31"/>
  <c r="F32" i="31"/>
  <c r="E32" i="31"/>
  <c r="D32" i="31"/>
  <c r="O32" i="31" s="1"/>
  <c r="M31" i="31"/>
  <c r="L31" i="31"/>
  <c r="K31" i="31"/>
  <c r="J31" i="31"/>
  <c r="P31" i="31" s="1"/>
  <c r="I31" i="31"/>
  <c r="H31" i="31"/>
  <c r="G31" i="31"/>
  <c r="F31" i="31"/>
  <c r="E31" i="31"/>
  <c r="D31" i="31"/>
  <c r="O31" i="31" s="1"/>
  <c r="M30" i="31"/>
  <c r="L30" i="31"/>
  <c r="K30" i="31"/>
  <c r="J30" i="31"/>
  <c r="P30" i="31" s="1"/>
  <c r="I30" i="31"/>
  <c r="H30" i="31"/>
  <c r="G30" i="31"/>
  <c r="F30" i="31"/>
  <c r="E30" i="31"/>
  <c r="D30" i="31"/>
  <c r="O30" i="31" s="1"/>
  <c r="M29" i="31"/>
  <c r="L29" i="31"/>
  <c r="K29" i="31"/>
  <c r="J29" i="31"/>
  <c r="P29" i="31" s="1"/>
  <c r="I29" i="31"/>
  <c r="H29" i="31"/>
  <c r="G29" i="31"/>
  <c r="F29" i="31"/>
  <c r="E29" i="31"/>
  <c r="D29" i="31"/>
  <c r="O29" i="31" s="1"/>
  <c r="M28" i="31"/>
  <c r="L28" i="31"/>
  <c r="K28" i="31"/>
  <c r="J28" i="31"/>
  <c r="P28" i="31" s="1"/>
  <c r="I28" i="31"/>
  <c r="H28" i="31"/>
  <c r="G28" i="31"/>
  <c r="F28" i="31"/>
  <c r="E28" i="31"/>
  <c r="D28" i="31"/>
  <c r="O28" i="31" s="1"/>
  <c r="M27" i="31"/>
  <c r="L27" i="31"/>
  <c r="K27" i="31"/>
  <c r="J27" i="31"/>
  <c r="P27" i="31" s="1"/>
  <c r="I27" i="31"/>
  <c r="H27" i="31"/>
  <c r="G27" i="31"/>
  <c r="F27" i="31"/>
  <c r="E27" i="31"/>
  <c r="D27" i="31"/>
  <c r="M26" i="31"/>
  <c r="L26" i="31"/>
  <c r="K26" i="31"/>
  <c r="J26" i="31"/>
  <c r="P26" i="31" s="1"/>
  <c r="I26" i="31"/>
  <c r="H26" i="31"/>
  <c r="G26" i="31"/>
  <c r="F26" i="31"/>
  <c r="E26" i="31"/>
  <c r="D26" i="31"/>
  <c r="O26" i="31" s="1"/>
  <c r="M25" i="31"/>
  <c r="L25" i="31"/>
  <c r="K25" i="31"/>
  <c r="J25" i="31"/>
  <c r="P25" i="31" s="1"/>
  <c r="I25" i="31"/>
  <c r="H25" i="31"/>
  <c r="G25" i="31"/>
  <c r="F25" i="31"/>
  <c r="E25" i="31"/>
  <c r="D25" i="31"/>
  <c r="O25" i="31" s="1"/>
  <c r="M24" i="31"/>
  <c r="L24" i="31"/>
  <c r="K24" i="31"/>
  <c r="J24" i="31"/>
  <c r="P24" i="31" s="1"/>
  <c r="I24" i="31"/>
  <c r="H24" i="31"/>
  <c r="G24" i="31"/>
  <c r="F24" i="31"/>
  <c r="E24" i="31"/>
  <c r="D24" i="31"/>
  <c r="O24" i="31" s="1"/>
  <c r="M23" i="31"/>
  <c r="L23" i="31"/>
  <c r="K23" i="31"/>
  <c r="J23" i="31"/>
  <c r="P23" i="31" s="1"/>
  <c r="I23" i="31"/>
  <c r="H23" i="31"/>
  <c r="G23" i="31"/>
  <c r="F23" i="31"/>
  <c r="E23" i="31"/>
  <c r="D23" i="31"/>
  <c r="O23" i="31" s="1"/>
  <c r="M21" i="31"/>
  <c r="L21" i="31"/>
  <c r="K21" i="31"/>
  <c r="J21" i="31"/>
  <c r="P21" i="31" s="1"/>
  <c r="I21" i="31"/>
  <c r="H21" i="31"/>
  <c r="G21" i="31"/>
  <c r="F21" i="31"/>
  <c r="E21" i="31"/>
  <c r="D21" i="31"/>
  <c r="O21" i="31" s="1"/>
  <c r="M17" i="31"/>
  <c r="L17" i="31"/>
  <c r="K17" i="31"/>
  <c r="J17" i="31"/>
  <c r="P17" i="31" s="1"/>
  <c r="I17" i="31"/>
  <c r="H17" i="31"/>
  <c r="G17" i="31"/>
  <c r="F17" i="31"/>
  <c r="E17" i="31"/>
  <c r="D17" i="31"/>
  <c r="O17" i="31" s="1"/>
  <c r="M8" i="31"/>
  <c r="L8" i="31"/>
  <c r="K8" i="31"/>
  <c r="J8" i="31"/>
  <c r="P8" i="31" s="1"/>
  <c r="I8" i="31"/>
  <c r="H8" i="31"/>
  <c r="G8" i="31"/>
  <c r="F8" i="31"/>
  <c r="E8" i="31"/>
  <c r="D8" i="31"/>
  <c r="O8" i="31" s="1"/>
  <c r="N139" i="31"/>
  <c r="M139" i="31"/>
  <c r="L139" i="31"/>
  <c r="B115" i="31"/>
  <c r="S90" i="31" s="1"/>
  <c r="F115" i="31" s="1"/>
  <c r="B153" i="31" s="1"/>
  <c r="F77" i="31"/>
  <c r="A77" i="31"/>
  <c r="K63" i="31"/>
  <c r="F63" i="31"/>
  <c r="B63" i="31"/>
  <c r="A51" i="31"/>
  <c r="A50" i="31"/>
  <c r="K49" i="31"/>
  <c r="A49" i="31"/>
  <c r="P42" i="31"/>
  <c r="O42" i="31"/>
  <c r="P41" i="31"/>
  <c r="O41" i="31"/>
  <c r="P40" i="31"/>
  <c r="O40" i="31"/>
  <c r="P39" i="31"/>
  <c r="O39" i="31"/>
  <c r="P22" i="31"/>
  <c r="O22" i="31"/>
  <c r="P20" i="31"/>
  <c r="O20" i="31"/>
  <c r="P19" i="31"/>
  <c r="O19" i="31"/>
  <c r="P18" i="31"/>
  <c r="O18" i="31"/>
  <c r="P16" i="31"/>
  <c r="O16" i="31"/>
  <c r="P15" i="31"/>
  <c r="O15" i="31"/>
  <c r="P14" i="31"/>
  <c r="O14" i="31"/>
  <c r="P13" i="31"/>
  <c r="O13" i="31"/>
  <c r="P12" i="31"/>
  <c r="O12" i="31"/>
  <c r="P11" i="31"/>
  <c r="O11" i="31"/>
  <c r="P10" i="31"/>
  <c r="O10" i="31"/>
  <c r="P9" i="31"/>
  <c r="O9" i="31"/>
  <c r="P7" i="31"/>
  <c r="O7" i="31"/>
  <c r="P6" i="31"/>
  <c r="O6" i="31"/>
  <c r="P5" i="31"/>
  <c r="O5" i="31"/>
  <c r="P4" i="31"/>
  <c r="O4" i="31"/>
  <c r="P3" i="31"/>
  <c r="O3" i="31"/>
  <c r="P2" i="31"/>
  <c r="O2" i="31"/>
  <c r="P43" i="31"/>
  <c r="P90" i="31" s="1"/>
  <c r="P153" i="31" s="1"/>
  <c r="F143" i="30"/>
  <c r="E143" i="30"/>
  <c r="N142" i="30" s="1"/>
  <c r="D143" i="30"/>
  <c r="M142" i="30" s="1"/>
  <c r="C143" i="30"/>
  <c r="L142" i="30" s="1"/>
  <c r="F142" i="30"/>
  <c r="E142" i="30"/>
  <c r="N141" i="30" s="1"/>
  <c r="D142" i="30"/>
  <c r="M141" i="30" s="1"/>
  <c r="C142" i="30"/>
  <c r="L141" i="30" s="1"/>
  <c r="F141" i="30"/>
  <c r="E141" i="30"/>
  <c r="N140" i="30" s="1"/>
  <c r="D141" i="30"/>
  <c r="M140" i="30" s="1"/>
  <c r="C141" i="30"/>
  <c r="L140" i="30" s="1"/>
  <c r="F140" i="30"/>
  <c r="E140" i="30"/>
  <c r="D140" i="30"/>
  <c r="C140" i="30"/>
  <c r="F139" i="30"/>
  <c r="E139" i="30"/>
  <c r="D139" i="30"/>
  <c r="C139" i="30"/>
  <c r="F136" i="30"/>
  <c r="E136" i="30"/>
  <c r="D136" i="30"/>
  <c r="C136" i="30"/>
  <c r="F135" i="30"/>
  <c r="E135" i="30"/>
  <c r="D135" i="30"/>
  <c r="C135" i="30"/>
  <c r="F134" i="30"/>
  <c r="E134" i="30"/>
  <c r="D134" i="30"/>
  <c r="C134" i="30"/>
  <c r="F133" i="30"/>
  <c r="E133" i="30"/>
  <c r="D133" i="30"/>
  <c r="C133" i="30"/>
  <c r="F131" i="30"/>
  <c r="E131" i="30"/>
  <c r="D131" i="30"/>
  <c r="C131" i="30"/>
  <c r="F127" i="30"/>
  <c r="E127" i="30"/>
  <c r="D127" i="30"/>
  <c r="C127" i="30"/>
  <c r="M42" i="30"/>
  <c r="L42" i="30"/>
  <c r="K42" i="30"/>
  <c r="J42" i="30"/>
  <c r="I42" i="30"/>
  <c r="H42" i="30"/>
  <c r="G42" i="30"/>
  <c r="F42" i="30"/>
  <c r="E42" i="30"/>
  <c r="D42" i="30"/>
  <c r="M41" i="30"/>
  <c r="L41" i="30"/>
  <c r="K41" i="30"/>
  <c r="J41" i="30"/>
  <c r="I41" i="30"/>
  <c r="H41" i="30"/>
  <c r="G41" i="30"/>
  <c r="F41" i="30"/>
  <c r="E41" i="30"/>
  <c r="D41" i="30"/>
  <c r="M40" i="30"/>
  <c r="L40" i="30"/>
  <c r="K40" i="30"/>
  <c r="J40" i="30"/>
  <c r="I40" i="30"/>
  <c r="H40" i="30"/>
  <c r="G40" i="30"/>
  <c r="F40" i="30"/>
  <c r="E40" i="30"/>
  <c r="D40" i="30"/>
  <c r="M39" i="30"/>
  <c r="L39" i="30"/>
  <c r="K39" i="30"/>
  <c r="J39" i="30"/>
  <c r="I39" i="30"/>
  <c r="H39" i="30"/>
  <c r="G39" i="30"/>
  <c r="F39" i="30"/>
  <c r="E39" i="30"/>
  <c r="D39" i="30"/>
  <c r="M38" i="30"/>
  <c r="L38" i="30"/>
  <c r="K38" i="30"/>
  <c r="J38" i="30"/>
  <c r="P38" i="30" s="1"/>
  <c r="I38" i="30"/>
  <c r="H38" i="30"/>
  <c r="G38" i="30"/>
  <c r="F38" i="30"/>
  <c r="E38" i="30"/>
  <c r="D38" i="30"/>
  <c r="O38" i="30" s="1"/>
  <c r="M37" i="30"/>
  <c r="L37" i="30"/>
  <c r="K37" i="30"/>
  <c r="J37" i="30"/>
  <c r="P37" i="30" s="1"/>
  <c r="I37" i="30"/>
  <c r="H37" i="30"/>
  <c r="G37" i="30"/>
  <c r="F37" i="30"/>
  <c r="E37" i="30"/>
  <c r="D37" i="30"/>
  <c r="O37" i="30" s="1"/>
  <c r="M36" i="30"/>
  <c r="L36" i="30"/>
  <c r="K36" i="30"/>
  <c r="J36" i="30"/>
  <c r="P36" i="30" s="1"/>
  <c r="I36" i="30"/>
  <c r="H36" i="30"/>
  <c r="G36" i="30"/>
  <c r="F36" i="30"/>
  <c r="E36" i="30"/>
  <c r="D36" i="30"/>
  <c r="O36" i="30" s="1"/>
  <c r="M35" i="30"/>
  <c r="L35" i="30"/>
  <c r="K35" i="30"/>
  <c r="J35" i="30"/>
  <c r="P35" i="30" s="1"/>
  <c r="I35" i="30"/>
  <c r="H35" i="30"/>
  <c r="G35" i="30"/>
  <c r="F35" i="30"/>
  <c r="E35" i="30"/>
  <c r="D35" i="30"/>
  <c r="O35" i="30" s="1"/>
  <c r="M34" i="30"/>
  <c r="L34" i="30"/>
  <c r="K34" i="30"/>
  <c r="J34" i="30"/>
  <c r="P34" i="30" s="1"/>
  <c r="I34" i="30"/>
  <c r="H34" i="30"/>
  <c r="G34" i="30"/>
  <c r="F34" i="30"/>
  <c r="E34" i="30"/>
  <c r="D34" i="30"/>
  <c r="O34" i="30" s="1"/>
  <c r="M33" i="30"/>
  <c r="L33" i="30"/>
  <c r="K33" i="30"/>
  <c r="J33" i="30"/>
  <c r="P33" i="30" s="1"/>
  <c r="I33" i="30"/>
  <c r="H33" i="30"/>
  <c r="G33" i="30"/>
  <c r="F33" i="30"/>
  <c r="E33" i="30"/>
  <c r="D33" i="30"/>
  <c r="O33" i="30" s="1"/>
  <c r="M32" i="30"/>
  <c r="L32" i="30"/>
  <c r="K32" i="30"/>
  <c r="J32" i="30"/>
  <c r="P32" i="30" s="1"/>
  <c r="I32" i="30"/>
  <c r="H32" i="30"/>
  <c r="G32" i="30"/>
  <c r="F32" i="30"/>
  <c r="E32" i="30"/>
  <c r="D32" i="30"/>
  <c r="O32" i="30" s="1"/>
  <c r="M31" i="30"/>
  <c r="L31" i="30"/>
  <c r="K31" i="30"/>
  <c r="J31" i="30"/>
  <c r="P31" i="30" s="1"/>
  <c r="I31" i="30"/>
  <c r="H31" i="30"/>
  <c r="G31" i="30"/>
  <c r="F31" i="30"/>
  <c r="E31" i="30"/>
  <c r="D31" i="30"/>
  <c r="O31" i="30" s="1"/>
  <c r="M30" i="30"/>
  <c r="L30" i="30"/>
  <c r="K30" i="30"/>
  <c r="J30" i="30"/>
  <c r="P30" i="30" s="1"/>
  <c r="I30" i="30"/>
  <c r="H30" i="30"/>
  <c r="G30" i="30"/>
  <c r="F30" i="30"/>
  <c r="E30" i="30"/>
  <c r="D30" i="30"/>
  <c r="O30" i="30" s="1"/>
  <c r="M29" i="30"/>
  <c r="L29" i="30"/>
  <c r="K29" i="30"/>
  <c r="J29" i="30"/>
  <c r="P29" i="30" s="1"/>
  <c r="I29" i="30"/>
  <c r="H29" i="30"/>
  <c r="G29" i="30"/>
  <c r="F29" i="30"/>
  <c r="E29" i="30"/>
  <c r="D29" i="30"/>
  <c r="O29" i="30" s="1"/>
  <c r="M28" i="30"/>
  <c r="L28" i="30"/>
  <c r="K28" i="30"/>
  <c r="J28" i="30"/>
  <c r="P28" i="30" s="1"/>
  <c r="I28" i="30"/>
  <c r="H28" i="30"/>
  <c r="G28" i="30"/>
  <c r="F28" i="30"/>
  <c r="E28" i="30"/>
  <c r="D28" i="30"/>
  <c r="O28" i="30" s="1"/>
  <c r="M27" i="30"/>
  <c r="L27" i="30"/>
  <c r="K27" i="30"/>
  <c r="J27" i="30"/>
  <c r="P27" i="30" s="1"/>
  <c r="I27" i="30"/>
  <c r="H27" i="30"/>
  <c r="G27" i="30"/>
  <c r="F27" i="30"/>
  <c r="E27" i="30"/>
  <c r="D27" i="30"/>
  <c r="O27" i="30" s="1"/>
  <c r="M26" i="30"/>
  <c r="L26" i="30"/>
  <c r="K26" i="30"/>
  <c r="J26" i="30"/>
  <c r="P26" i="30" s="1"/>
  <c r="I26" i="30"/>
  <c r="H26" i="30"/>
  <c r="G26" i="30"/>
  <c r="F26" i="30"/>
  <c r="E26" i="30"/>
  <c r="D26" i="30"/>
  <c r="O26" i="30" s="1"/>
  <c r="M25" i="30"/>
  <c r="L25" i="30"/>
  <c r="K25" i="30"/>
  <c r="J25" i="30"/>
  <c r="P25" i="30" s="1"/>
  <c r="I25" i="30"/>
  <c r="H25" i="30"/>
  <c r="G25" i="30"/>
  <c r="F25" i="30"/>
  <c r="E25" i="30"/>
  <c r="D25" i="30"/>
  <c r="O25" i="30" s="1"/>
  <c r="M24" i="30"/>
  <c r="L24" i="30"/>
  <c r="K24" i="30"/>
  <c r="J24" i="30"/>
  <c r="P24" i="30" s="1"/>
  <c r="I24" i="30"/>
  <c r="H24" i="30"/>
  <c r="G24" i="30"/>
  <c r="F24" i="30"/>
  <c r="E24" i="30"/>
  <c r="D24" i="30"/>
  <c r="O24" i="30" s="1"/>
  <c r="M23" i="30"/>
  <c r="L23" i="30"/>
  <c r="K23" i="30"/>
  <c r="J23" i="30"/>
  <c r="P23" i="30" s="1"/>
  <c r="I23" i="30"/>
  <c r="H23" i="30"/>
  <c r="G23" i="30"/>
  <c r="F23" i="30"/>
  <c r="E23" i="30"/>
  <c r="D23" i="30"/>
  <c r="O23" i="30" s="1"/>
  <c r="M21" i="30"/>
  <c r="L21" i="30"/>
  <c r="K21" i="30"/>
  <c r="J21" i="30"/>
  <c r="P21" i="30" s="1"/>
  <c r="I21" i="30"/>
  <c r="H21" i="30"/>
  <c r="G21" i="30"/>
  <c r="F21" i="30"/>
  <c r="E21" i="30"/>
  <c r="D21" i="30"/>
  <c r="O21" i="30" s="1"/>
  <c r="M17" i="30"/>
  <c r="L17" i="30"/>
  <c r="K17" i="30"/>
  <c r="J17" i="30"/>
  <c r="P17" i="30" s="1"/>
  <c r="I17" i="30"/>
  <c r="H17" i="30"/>
  <c r="G17" i="30"/>
  <c r="F17" i="30"/>
  <c r="E17" i="30"/>
  <c r="D17" i="30"/>
  <c r="O17" i="30" s="1"/>
  <c r="M8" i="30"/>
  <c r="L8" i="30"/>
  <c r="K8" i="30"/>
  <c r="J8" i="30"/>
  <c r="P8" i="30" s="1"/>
  <c r="I8" i="30"/>
  <c r="H8" i="30"/>
  <c r="G8" i="30"/>
  <c r="F8" i="30"/>
  <c r="E8" i="30"/>
  <c r="D8" i="30"/>
  <c r="O8" i="30" s="1"/>
  <c r="N139" i="30"/>
  <c r="M139" i="30"/>
  <c r="L139" i="30"/>
  <c r="B115" i="30"/>
  <c r="S90" i="30" s="1"/>
  <c r="F115" i="30" s="1"/>
  <c r="B153" i="30" s="1"/>
  <c r="F77" i="30"/>
  <c r="A77" i="30"/>
  <c r="K63" i="30"/>
  <c r="F63" i="30"/>
  <c r="B63" i="30"/>
  <c r="A51" i="30"/>
  <c r="A50" i="30"/>
  <c r="K49" i="30"/>
  <c r="A49" i="30"/>
  <c r="P42" i="30"/>
  <c r="O42" i="30"/>
  <c r="P41" i="30"/>
  <c r="O41" i="30"/>
  <c r="P40" i="30"/>
  <c r="O40" i="30"/>
  <c r="P39" i="30"/>
  <c r="O39" i="30"/>
  <c r="P22" i="30"/>
  <c r="O22" i="30"/>
  <c r="P20" i="30"/>
  <c r="O20" i="30"/>
  <c r="P19" i="30"/>
  <c r="O19" i="30"/>
  <c r="P18" i="30"/>
  <c r="O18" i="30"/>
  <c r="P16" i="30"/>
  <c r="O16" i="30"/>
  <c r="P15" i="30"/>
  <c r="O15" i="30"/>
  <c r="P14" i="30"/>
  <c r="O14" i="30"/>
  <c r="P13" i="30"/>
  <c r="O13" i="30"/>
  <c r="P12" i="30"/>
  <c r="O12" i="30"/>
  <c r="P11" i="30"/>
  <c r="O11" i="30"/>
  <c r="P10" i="30"/>
  <c r="O10" i="30"/>
  <c r="P9" i="30"/>
  <c r="O9" i="30"/>
  <c r="P7" i="30"/>
  <c r="O7" i="30"/>
  <c r="P6" i="30"/>
  <c r="O6" i="30"/>
  <c r="P5" i="30"/>
  <c r="O5" i="30"/>
  <c r="P4" i="30"/>
  <c r="O4" i="30"/>
  <c r="P3" i="30"/>
  <c r="O3" i="30"/>
  <c r="P2" i="30"/>
  <c r="O2" i="30"/>
  <c r="P43" i="30"/>
  <c r="P90" i="30" s="1"/>
  <c r="P153" i="30" s="1"/>
  <c r="F143" i="29"/>
  <c r="E143" i="29"/>
  <c r="N142" i="29" s="1"/>
  <c r="D143" i="29"/>
  <c r="C143" i="29"/>
  <c r="F142" i="29"/>
  <c r="E142" i="29"/>
  <c r="N141" i="29" s="1"/>
  <c r="D142" i="29"/>
  <c r="M141" i="29" s="1"/>
  <c r="C142" i="29"/>
  <c r="L141" i="29" s="1"/>
  <c r="F141" i="29"/>
  <c r="E141" i="29"/>
  <c r="N140" i="29" s="1"/>
  <c r="D141" i="29"/>
  <c r="M140" i="29" s="1"/>
  <c r="C141" i="29"/>
  <c r="L140" i="29" s="1"/>
  <c r="F140" i="29"/>
  <c r="E140" i="29"/>
  <c r="D140" i="29"/>
  <c r="C140" i="29"/>
  <c r="F139" i="29"/>
  <c r="E139" i="29"/>
  <c r="D139" i="29"/>
  <c r="C139" i="29"/>
  <c r="F136" i="29"/>
  <c r="E136" i="29"/>
  <c r="D136" i="29"/>
  <c r="C136" i="29"/>
  <c r="F135" i="29"/>
  <c r="E135" i="29"/>
  <c r="D135" i="29"/>
  <c r="C135" i="29"/>
  <c r="F134" i="29"/>
  <c r="E134" i="29"/>
  <c r="D134" i="29"/>
  <c r="C134" i="29"/>
  <c r="F133" i="29"/>
  <c r="E133" i="29"/>
  <c r="D133" i="29"/>
  <c r="C133" i="29"/>
  <c r="F131" i="29"/>
  <c r="E131" i="29"/>
  <c r="D131" i="29"/>
  <c r="C131" i="29"/>
  <c r="F127" i="29"/>
  <c r="E127" i="29"/>
  <c r="D127" i="29"/>
  <c r="C127" i="29"/>
  <c r="M42" i="29"/>
  <c r="L42" i="29"/>
  <c r="K42" i="29"/>
  <c r="J42" i="29"/>
  <c r="I42" i="29"/>
  <c r="H42" i="29"/>
  <c r="G42" i="29"/>
  <c r="F42" i="29"/>
  <c r="E42" i="29"/>
  <c r="D42" i="29"/>
  <c r="M41" i="29"/>
  <c r="L41" i="29"/>
  <c r="K41" i="29"/>
  <c r="J41" i="29"/>
  <c r="I41" i="29"/>
  <c r="H41" i="29"/>
  <c r="G41" i="29"/>
  <c r="F41" i="29"/>
  <c r="E41" i="29"/>
  <c r="D41" i="29"/>
  <c r="M40" i="29"/>
  <c r="L40" i="29"/>
  <c r="K40" i="29"/>
  <c r="J40" i="29"/>
  <c r="I40" i="29"/>
  <c r="H40" i="29"/>
  <c r="G40" i="29"/>
  <c r="F40" i="29"/>
  <c r="E40" i="29"/>
  <c r="D40" i="29"/>
  <c r="M39" i="29"/>
  <c r="L39" i="29"/>
  <c r="K39" i="29"/>
  <c r="J39" i="29"/>
  <c r="I39" i="29"/>
  <c r="H39" i="29"/>
  <c r="G39" i="29"/>
  <c r="F39" i="29"/>
  <c r="E39" i="29"/>
  <c r="D39" i="29"/>
  <c r="M38" i="29"/>
  <c r="L38" i="29"/>
  <c r="K38" i="29"/>
  <c r="J38" i="29"/>
  <c r="P38" i="29" s="1"/>
  <c r="I38" i="29"/>
  <c r="H38" i="29"/>
  <c r="G38" i="29"/>
  <c r="F38" i="29"/>
  <c r="E38" i="29"/>
  <c r="D38" i="29"/>
  <c r="O38" i="29" s="1"/>
  <c r="M37" i="29"/>
  <c r="L37" i="29"/>
  <c r="K37" i="29"/>
  <c r="J37" i="29"/>
  <c r="P37" i="29" s="1"/>
  <c r="I37" i="29"/>
  <c r="H37" i="29"/>
  <c r="G37" i="29"/>
  <c r="F37" i="29"/>
  <c r="E37" i="29"/>
  <c r="D37" i="29"/>
  <c r="O37" i="29" s="1"/>
  <c r="M36" i="29"/>
  <c r="L36" i="29"/>
  <c r="K36" i="29"/>
  <c r="J36" i="29"/>
  <c r="P36" i="29" s="1"/>
  <c r="I36" i="29"/>
  <c r="H36" i="29"/>
  <c r="G36" i="29"/>
  <c r="F36" i="29"/>
  <c r="E36" i="29"/>
  <c r="D36" i="29"/>
  <c r="O36" i="29" s="1"/>
  <c r="M35" i="29"/>
  <c r="L35" i="29"/>
  <c r="K35" i="29"/>
  <c r="J35" i="29"/>
  <c r="P35" i="29" s="1"/>
  <c r="I35" i="29"/>
  <c r="H35" i="29"/>
  <c r="G35" i="29"/>
  <c r="F35" i="29"/>
  <c r="E35" i="29"/>
  <c r="D35" i="29"/>
  <c r="O35" i="29" s="1"/>
  <c r="M34" i="29"/>
  <c r="L34" i="29"/>
  <c r="K34" i="29"/>
  <c r="J34" i="29"/>
  <c r="P34" i="29" s="1"/>
  <c r="I34" i="29"/>
  <c r="H34" i="29"/>
  <c r="G34" i="29"/>
  <c r="F34" i="29"/>
  <c r="E34" i="29"/>
  <c r="D34" i="29"/>
  <c r="O34" i="29" s="1"/>
  <c r="M33" i="29"/>
  <c r="L33" i="29"/>
  <c r="K33" i="29"/>
  <c r="J33" i="29"/>
  <c r="P33" i="29" s="1"/>
  <c r="I33" i="29"/>
  <c r="H33" i="29"/>
  <c r="G33" i="29"/>
  <c r="F33" i="29"/>
  <c r="E33" i="29"/>
  <c r="D33" i="29"/>
  <c r="O33" i="29" s="1"/>
  <c r="M32" i="29"/>
  <c r="L32" i="29"/>
  <c r="K32" i="29"/>
  <c r="J32" i="29"/>
  <c r="P32" i="29" s="1"/>
  <c r="I32" i="29"/>
  <c r="H32" i="29"/>
  <c r="G32" i="29"/>
  <c r="F32" i="29"/>
  <c r="E32" i="29"/>
  <c r="D32" i="29"/>
  <c r="O32" i="29" s="1"/>
  <c r="M31" i="29"/>
  <c r="L31" i="29"/>
  <c r="K31" i="29"/>
  <c r="J31" i="29"/>
  <c r="P31" i="29" s="1"/>
  <c r="I31" i="29"/>
  <c r="H31" i="29"/>
  <c r="G31" i="29"/>
  <c r="F31" i="29"/>
  <c r="E31" i="29"/>
  <c r="D31" i="29"/>
  <c r="O31" i="29" s="1"/>
  <c r="M30" i="29"/>
  <c r="L30" i="29"/>
  <c r="K30" i="29"/>
  <c r="J30" i="29"/>
  <c r="P30" i="29" s="1"/>
  <c r="I30" i="29"/>
  <c r="H30" i="29"/>
  <c r="G30" i="29"/>
  <c r="F30" i="29"/>
  <c r="E30" i="29"/>
  <c r="D30" i="29"/>
  <c r="O30" i="29" s="1"/>
  <c r="M29" i="29"/>
  <c r="L29" i="29"/>
  <c r="K29" i="29"/>
  <c r="J29" i="29"/>
  <c r="P29" i="29" s="1"/>
  <c r="I29" i="29"/>
  <c r="H29" i="29"/>
  <c r="G29" i="29"/>
  <c r="F29" i="29"/>
  <c r="E29" i="29"/>
  <c r="D29" i="29"/>
  <c r="O29" i="29" s="1"/>
  <c r="M28" i="29"/>
  <c r="L28" i="29"/>
  <c r="K28" i="29"/>
  <c r="J28" i="29"/>
  <c r="P28" i="29" s="1"/>
  <c r="I28" i="29"/>
  <c r="H28" i="29"/>
  <c r="G28" i="29"/>
  <c r="F28" i="29"/>
  <c r="E28" i="29"/>
  <c r="D28" i="29"/>
  <c r="O28" i="29" s="1"/>
  <c r="M27" i="29"/>
  <c r="L27" i="29"/>
  <c r="K27" i="29"/>
  <c r="J27" i="29"/>
  <c r="P27" i="29" s="1"/>
  <c r="I27" i="29"/>
  <c r="H27" i="29"/>
  <c r="G27" i="29"/>
  <c r="F27" i="29"/>
  <c r="E27" i="29"/>
  <c r="D27" i="29"/>
  <c r="O27" i="29" s="1"/>
  <c r="M26" i="29"/>
  <c r="L26" i="29"/>
  <c r="K26" i="29"/>
  <c r="J26" i="29"/>
  <c r="P26" i="29" s="1"/>
  <c r="I26" i="29"/>
  <c r="H26" i="29"/>
  <c r="G26" i="29"/>
  <c r="F26" i="29"/>
  <c r="E26" i="29"/>
  <c r="D26" i="29"/>
  <c r="O26" i="29" s="1"/>
  <c r="M25" i="29"/>
  <c r="L25" i="29"/>
  <c r="K25" i="29"/>
  <c r="J25" i="29"/>
  <c r="P25" i="29" s="1"/>
  <c r="I25" i="29"/>
  <c r="H25" i="29"/>
  <c r="G25" i="29"/>
  <c r="F25" i="29"/>
  <c r="E25" i="29"/>
  <c r="D25" i="29"/>
  <c r="O25" i="29" s="1"/>
  <c r="M24" i="29"/>
  <c r="L24" i="29"/>
  <c r="K24" i="29"/>
  <c r="J24" i="29"/>
  <c r="P24" i="29" s="1"/>
  <c r="I24" i="29"/>
  <c r="H24" i="29"/>
  <c r="G24" i="29"/>
  <c r="F24" i="29"/>
  <c r="E24" i="29"/>
  <c r="D24" i="29"/>
  <c r="O24" i="29" s="1"/>
  <c r="M23" i="29"/>
  <c r="L23" i="29"/>
  <c r="K23" i="29"/>
  <c r="J23" i="29"/>
  <c r="P23" i="29" s="1"/>
  <c r="I23" i="29"/>
  <c r="H23" i="29"/>
  <c r="G23" i="29"/>
  <c r="F23" i="29"/>
  <c r="E23" i="29"/>
  <c r="D23" i="29"/>
  <c r="O23" i="29" s="1"/>
  <c r="M21" i="29"/>
  <c r="L21" i="29"/>
  <c r="K21" i="29"/>
  <c r="J21" i="29"/>
  <c r="P21" i="29" s="1"/>
  <c r="I21" i="29"/>
  <c r="H21" i="29"/>
  <c r="G21" i="29"/>
  <c r="F21" i="29"/>
  <c r="E21" i="29"/>
  <c r="D21" i="29"/>
  <c r="O21" i="29" s="1"/>
  <c r="M17" i="29"/>
  <c r="L17" i="29"/>
  <c r="K17" i="29"/>
  <c r="J17" i="29"/>
  <c r="P17" i="29" s="1"/>
  <c r="I17" i="29"/>
  <c r="H17" i="29"/>
  <c r="G17" i="29"/>
  <c r="F17" i="29"/>
  <c r="E17" i="29"/>
  <c r="D17" i="29"/>
  <c r="O17" i="29" s="1"/>
  <c r="M8" i="29"/>
  <c r="L8" i="29"/>
  <c r="K8" i="29"/>
  <c r="J8" i="29"/>
  <c r="P8" i="29" s="1"/>
  <c r="I8" i="29"/>
  <c r="H8" i="29"/>
  <c r="G8" i="29"/>
  <c r="F8" i="29"/>
  <c r="E8" i="29"/>
  <c r="D8" i="29"/>
  <c r="O8" i="29" s="1"/>
  <c r="M142" i="29"/>
  <c r="L142" i="29"/>
  <c r="N139" i="29"/>
  <c r="M139" i="29"/>
  <c r="L139" i="29"/>
  <c r="B115" i="29"/>
  <c r="S90" i="29" s="1"/>
  <c r="F115" i="29" s="1"/>
  <c r="B153" i="29" s="1"/>
  <c r="F77" i="29"/>
  <c r="A77" i="29"/>
  <c r="K63" i="29"/>
  <c r="F63" i="29"/>
  <c r="B63" i="29"/>
  <c r="A51" i="29"/>
  <c r="A50" i="29"/>
  <c r="K49" i="29"/>
  <c r="A49" i="29"/>
  <c r="P42" i="29"/>
  <c r="O42" i="29"/>
  <c r="P41" i="29"/>
  <c r="O41" i="29"/>
  <c r="P40" i="29"/>
  <c r="O40" i="29"/>
  <c r="P39" i="29"/>
  <c r="O39" i="29"/>
  <c r="P22" i="29"/>
  <c r="O22" i="29"/>
  <c r="P20" i="29"/>
  <c r="O20" i="29"/>
  <c r="P19" i="29"/>
  <c r="O19" i="29"/>
  <c r="P18" i="29"/>
  <c r="O18" i="29"/>
  <c r="P16" i="29"/>
  <c r="O16" i="29"/>
  <c r="P15" i="29"/>
  <c r="O15" i="29"/>
  <c r="P14" i="29"/>
  <c r="O14" i="29"/>
  <c r="P13" i="29"/>
  <c r="O13" i="29"/>
  <c r="P12" i="29"/>
  <c r="O12" i="29"/>
  <c r="P11" i="29"/>
  <c r="O11" i="29"/>
  <c r="P10" i="29"/>
  <c r="O10" i="29"/>
  <c r="P9" i="29"/>
  <c r="O9" i="29"/>
  <c r="P7" i="29"/>
  <c r="O7" i="29"/>
  <c r="P6" i="29"/>
  <c r="O6" i="29"/>
  <c r="P5" i="29"/>
  <c r="O5" i="29"/>
  <c r="P4" i="29"/>
  <c r="O4" i="29"/>
  <c r="P3" i="29"/>
  <c r="O3" i="29"/>
  <c r="P2" i="29"/>
  <c r="O2" i="29"/>
  <c r="P43" i="29"/>
  <c r="P90" i="29" s="1"/>
  <c r="P153" i="29" s="1"/>
  <c r="F143" i="28"/>
  <c r="E143" i="28"/>
  <c r="D143" i="28"/>
  <c r="M142" i="28" s="1"/>
  <c r="C143" i="28"/>
  <c r="L142" i="28" s="1"/>
  <c r="F142" i="28"/>
  <c r="E142" i="28"/>
  <c r="N141" i="28" s="1"/>
  <c r="D142" i="28"/>
  <c r="M141" i="28" s="1"/>
  <c r="C142" i="28"/>
  <c r="L141" i="28" s="1"/>
  <c r="F141" i="28"/>
  <c r="E141" i="28"/>
  <c r="N140" i="28" s="1"/>
  <c r="D141" i="28"/>
  <c r="M140" i="28" s="1"/>
  <c r="C141" i="28"/>
  <c r="L140" i="28" s="1"/>
  <c r="F140" i="28"/>
  <c r="E140" i="28"/>
  <c r="D140" i="28"/>
  <c r="C140" i="28"/>
  <c r="F139" i="28"/>
  <c r="E139" i="28"/>
  <c r="D139" i="28"/>
  <c r="C139" i="28"/>
  <c r="F136" i="28"/>
  <c r="E136" i="28"/>
  <c r="D136" i="28"/>
  <c r="C136" i="28"/>
  <c r="F135" i="28"/>
  <c r="E135" i="28"/>
  <c r="D135" i="28"/>
  <c r="C135" i="28"/>
  <c r="F134" i="28"/>
  <c r="E134" i="28"/>
  <c r="D134" i="28"/>
  <c r="C134" i="28"/>
  <c r="F133" i="28"/>
  <c r="E133" i="28"/>
  <c r="D133" i="28"/>
  <c r="C133" i="28"/>
  <c r="F131" i="28"/>
  <c r="E131" i="28"/>
  <c r="D131" i="28"/>
  <c r="C131" i="28"/>
  <c r="F127" i="28"/>
  <c r="E127" i="28"/>
  <c r="D127" i="28"/>
  <c r="C127" i="28"/>
  <c r="M42" i="28"/>
  <c r="L42" i="28"/>
  <c r="K42" i="28"/>
  <c r="J42" i="28"/>
  <c r="I42" i="28"/>
  <c r="H42" i="28"/>
  <c r="G42" i="28"/>
  <c r="F42" i="28"/>
  <c r="E42" i="28"/>
  <c r="D42" i="28"/>
  <c r="K41" i="28"/>
  <c r="J41" i="28"/>
  <c r="G41" i="28"/>
  <c r="F41" i="28"/>
  <c r="E41" i="28"/>
  <c r="D41" i="28"/>
  <c r="K40" i="28"/>
  <c r="J40" i="28"/>
  <c r="I40" i="28"/>
  <c r="G40" i="28"/>
  <c r="F40" i="28"/>
  <c r="E40" i="28"/>
  <c r="D40" i="28"/>
  <c r="M39" i="28"/>
  <c r="L39" i="28"/>
  <c r="K39" i="28"/>
  <c r="J39" i="28"/>
  <c r="I39" i="28"/>
  <c r="H39" i="28"/>
  <c r="G39" i="28"/>
  <c r="F39" i="28"/>
  <c r="E39" i="28"/>
  <c r="D39" i="28"/>
  <c r="M38" i="28"/>
  <c r="L38" i="28"/>
  <c r="K38" i="28"/>
  <c r="J38" i="28"/>
  <c r="P38" i="28" s="1"/>
  <c r="I38" i="28"/>
  <c r="H38" i="28"/>
  <c r="G38" i="28"/>
  <c r="F38" i="28"/>
  <c r="E38" i="28"/>
  <c r="D38" i="28"/>
  <c r="O38" i="28" s="1"/>
  <c r="M37" i="28"/>
  <c r="L37" i="28"/>
  <c r="K37" i="28"/>
  <c r="J37" i="28"/>
  <c r="P37" i="28" s="1"/>
  <c r="I37" i="28"/>
  <c r="H37" i="28"/>
  <c r="G37" i="28"/>
  <c r="F37" i="28"/>
  <c r="E37" i="28"/>
  <c r="D37" i="28"/>
  <c r="M36" i="28"/>
  <c r="L36" i="28"/>
  <c r="K36" i="28"/>
  <c r="J36" i="28"/>
  <c r="P36" i="28" s="1"/>
  <c r="I36" i="28"/>
  <c r="H36" i="28"/>
  <c r="G36" i="28"/>
  <c r="F36" i="28"/>
  <c r="E36" i="28"/>
  <c r="D36" i="28"/>
  <c r="O36" i="28" s="1"/>
  <c r="M35" i="28"/>
  <c r="L35" i="28"/>
  <c r="K35" i="28"/>
  <c r="J35" i="28"/>
  <c r="P35" i="28" s="1"/>
  <c r="I35" i="28"/>
  <c r="H35" i="28"/>
  <c r="G35" i="28"/>
  <c r="F35" i="28"/>
  <c r="E35" i="28"/>
  <c r="D35" i="28"/>
  <c r="O35" i="28" s="1"/>
  <c r="M34" i="28"/>
  <c r="L34" i="28"/>
  <c r="K34" i="28"/>
  <c r="J34" i="28"/>
  <c r="P34" i="28" s="1"/>
  <c r="I34" i="28"/>
  <c r="H34" i="28"/>
  <c r="G34" i="28"/>
  <c r="F34" i="28"/>
  <c r="E34" i="28"/>
  <c r="D34" i="28"/>
  <c r="O34" i="28" s="1"/>
  <c r="M33" i="28"/>
  <c r="L33" i="28"/>
  <c r="K33" i="28"/>
  <c r="J33" i="28"/>
  <c r="P33" i="28" s="1"/>
  <c r="I33" i="28"/>
  <c r="H33" i="28"/>
  <c r="G33" i="28"/>
  <c r="F33" i="28"/>
  <c r="E33" i="28"/>
  <c r="D33" i="28"/>
  <c r="O33" i="28" s="1"/>
  <c r="M32" i="28"/>
  <c r="L32" i="28"/>
  <c r="K32" i="28"/>
  <c r="J32" i="28"/>
  <c r="P32" i="28" s="1"/>
  <c r="I32" i="28"/>
  <c r="H32" i="28"/>
  <c r="G32" i="28"/>
  <c r="F32" i="28"/>
  <c r="E32" i="28"/>
  <c r="D32" i="28"/>
  <c r="O32" i="28" s="1"/>
  <c r="M31" i="28"/>
  <c r="L31" i="28"/>
  <c r="K31" i="28"/>
  <c r="J31" i="28"/>
  <c r="P31" i="28" s="1"/>
  <c r="I31" i="28"/>
  <c r="H31" i="28"/>
  <c r="G31" i="28"/>
  <c r="F31" i="28"/>
  <c r="E31" i="28"/>
  <c r="D31" i="28"/>
  <c r="O31" i="28" s="1"/>
  <c r="M30" i="28"/>
  <c r="L30" i="28"/>
  <c r="K30" i="28"/>
  <c r="J30" i="28"/>
  <c r="P30" i="28" s="1"/>
  <c r="I30" i="28"/>
  <c r="H30" i="28"/>
  <c r="G30" i="28"/>
  <c r="F30" i="28"/>
  <c r="E30" i="28"/>
  <c r="D30" i="28"/>
  <c r="O30" i="28" s="1"/>
  <c r="M29" i="28"/>
  <c r="L29" i="28"/>
  <c r="K29" i="28"/>
  <c r="J29" i="28"/>
  <c r="G29" i="28"/>
  <c r="F29" i="28"/>
  <c r="E29" i="28"/>
  <c r="D29" i="28"/>
  <c r="M28" i="28"/>
  <c r="L28" i="28"/>
  <c r="K28" i="28"/>
  <c r="J28" i="28"/>
  <c r="P28" i="28" s="1"/>
  <c r="I28" i="28"/>
  <c r="H28" i="28"/>
  <c r="G28" i="28"/>
  <c r="F28" i="28"/>
  <c r="E28" i="28"/>
  <c r="D28" i="28"/>
  <c r="O28" i="28" s="1"/>
  <c r="M27" i="28"/>
  <c r="L27" i="28"/>
  <c r="K27" i="28"/>
  <c r="J27" i="28"/>
  <c r="P27" i="28" s="1"/>
  <c r="I27" i="28"/>
  <c r="H27" i="28"/>
  <c r="G27" i="28"/>
  <c r="F27" i="28"/>
  <c r="E27" i="28"/>
  <c r="D27" i="28"/>
  <c r="M26" i="28"/>
  <c r="L26" i="28"/>
  <c r="K26" i="28"/>
  <c r="J26" i="28"/>
  <c r="P26" i="28" s="1"/>
  <c r="I26" i="28"/>
  <c r="H26" i="28"/>
  <c r="G26" i="28"/>
  <c r="F26" i="28"/>
  <c r="E26" i="28"/>
  <c r="D26" i="28"/>
  <c r="O26" i="28" s="1"/>
  <c r="M25" i="28"/>
  <c r="L25" i="28"/>
  <c r="K25" i="28"/>
  <c r="J25" i="28"/>
  <c r="P25" i="28" s="1"/>
  <c r="I25" i="28"/>
  <c r="H25" i="28"/>
  <c r="G25" i="28"/>
  <c r="F25" i="28"/>
  <c r="E25" i="28"/>
  <c r="D25" i="28"/>
  <c r="O25" i="28" s="1"/>
  <c r="M24" i="28"/>
  <c r="L24" i="28"/>
  <c r="K24" i="28"/>
  <c r="J24" i="28"/>
  <c r="P24" i="28" s="1"/>
  <c r="I24" i="28"/>
  <c r="H24" i="28"/>
  <c r="G24" i="28"/>
  <c r="F24" i="28"/>
  <c r="E24" i="28"/>
  <c r="D24" i="28"/>
  <c r="O24" i="28" s="1"/>
  <c r="M23" i="28"/>
  <c r="L23" i="28"/>
  <c r="K23" i="28"/>
  <c r="J23" i="28"/>
  <c r="P23" i="28" s="1"/>
  <c r="I23" i="28"/>
  <c r="H23" i="28"/>
  <c r="G23" i="28"/>
  <c r="F23" i="28"/>
  <c r="E23" i="28"/>
  <c r="D23" i="28"/>
  <c r="O23" i="28" s="1"/>
  <c r="M21" i="28"/>
  <c r="L21" i="28"/>
  <c r="K21" i="28"/>
  <c r="J21" i="28"/>
  <c r="P21" i="28" s="1"/>
  <c r="I21" i="28"/>
  <c r="H21" i="28"/>
  <c r="G21" i="28"/>
  <c r="F21" i="28"/>
  <c r="E21" i="28"/>
  <c r="D21" i="28"/>
  <c r="O21" i="28" s="1"/>
  <c r="M17" i="28"/>
  <c r="L17" i="28"/>
  <c r="K17" i="28"/>
  <c r="J17" i="28"/>
  <c r="P17" i="28" s="1"/>
  <c r="I17" i="28"/>
  <c r="H17" i="28"/>
  <c r="G17" i="28"/>
  <c r="F17" i="28"/>
  <c r="E17" i="28"/>
  <c r="D17" i="28"/>
  <c r="O17" i="28" s="1"/>
  <c r="M8" i="28"/>
  <c r="L8" i="28"/>
  <c r="K8" i="28"/>
  <c r="J8" i="28"/>
  <c r="P8" i="28" s="1"/>
  <c r="I8" i="28"/>
  <c r="H8" i="28"/>
  <c r="G8" i="28"/>
  <c r="F8" i="28"/>
  <c r="E8" i="28"/>
  <c r="D8" i="28"/>
  <c r="O8" i="28" s="1"/>
  <c r="N142" i="28"/>
  <c r="N139" i="28"/>
  <c r="M139" i="28"/>
  <c r="L139" i="28"/>
  <c r="B115" i="28"/>
  <c r="S90" i="28" s="1"/>
  <c r="F115" i="28" s="1"/>
  <c r="B153" i="28" s="1"/>
  <c r="F77" i="28"/>
  <c r="A77" i="28"/>
  <c r="K63" i="28"/>
  <c r="F63" i="28"/>
  <c r="B63" i="28"/>
  <c r="A51" i="28"/>
  <c r="A50" i="28"/>
  <c r="K49" i="28"/>
  <c r="A49" i="28"/>
  <c r="P42" i="28"/>
  <c r="O42" i="28"/>
  <c r="P41" i="28"/>
  <c r="O41" i="28"/>
  <c r="P40" i="28"/>
  <c r="O40" i="28"/>
  <c r="P39" i="28"/>
  <c r="O39" i="28"/>
  <c r="P29" i="28"/>
  <c r="O29" i="28"/>
  <c r="P22" i="28"/>
  <c r="O22" i="28"/>
  <c r="P20" i="28"/>
  <c r="O20" i="28"/>
  <c r="P19" i="28"/>
  <c r="O19" i="28"/>
  <c r="P18" i="28"/>
  <c r="O18" i="28"/>
  <c r="P16" i="28"/>
  <c r="O16" i="28"/>
  <c r="P15" i="28"/>
  <c r="O15" i="28"/>
  <c r="P14" i="28"/>
  <c r="O14" i="28"/>
  <c r="P13" i="28"/>
  <c r="O13" i="28"/>
  <c r="P12" i="28"/>
  <c r="O12" i="28"/>
  <c r="P11" i="28"/>
  <c r="O11" i="28"/>
  <c r="P10" i="28"/>
  <c r="O10" i="28"/>
  <c r="P9" i="28"/>
  <c r="O9" i="28"/>
  <c r="P7" i="28"/>
  <c r="O7" i="28"/>
  <c r="P6" i="28"/>
  <c r="O6" i="28"/>
  <c r="P5" i="28"/>
  <c r="O5" i="28"/>
  <c r="P4" i="28"/>
  <c r="O4" i="28"/>
  <c r="P3" i="28"/>
  <c r="O3" i="28"/>
  <c r="P2" i="28"/>
  <c r="O2" i="28"/>
  <c r="P43" i="28"/>
  <c r="P90" i="28" s="1"/>
  <c r="P153" i="28" s="1"/>
  <c r="F143" i="27"/>
  <c r="E143" i="27"/>
  <c r="N142" i="27" s="1"/>
  <c r="D143" i="27"/>
  <c r="M142" i="27" s="1"/>
  <c r="C143" i="27"/>
  <c r="L142" i="27" s="1"/>
  <c r="F142" i="27"/>
  <c r="E142" i="27"/>
  <c r="N141" i="27" s="1"/>
  <c r="D142" i="27"/>
  <c r="M141" i="27" s="1"/>
  <c r="C142" i="27"/>
  <c r="L141" i="27" s="1"/>
  <c r="F141" i="27"/>
  <c r="E141" i="27"/>
  <c r="N140" i="27" s="1"/>
  <c r="D141" i="27"/>
  <c r="M140" i="27" s="1"/>
  <c r="C141" i="27"/>
  <c r="L140" i="27" s="1"/>
  <c r="F140" i="27"/>
  <c r="E140" i="27"/>
  <c r="D140" i="27"/>
  <c r="C140" i="27"/>
  <c r="F139" i="27"/>
  <c r="E139" i="27"/>
  <c r="D139" i="27"/>
  <c r="C139" i="27"/>
  <c r="F136" i="27"/>
  <c r="E136" i="27"/>
  <c r="D136" i="27"/>
  <c r="C136" i="27"/>
  <c r="F135" i="27"/>
  <c r="E135" i="27"/>
  <c r="D135" i="27"/>
  <c r="C135" i="27"/>
  <c r="F134" i="27"/>
  <c r="E134" i="27"/>
  <c r="D134" i="27"/>
  <c r="C134" i="27"/>
  <c r="F133" i="27"/>
  <c r="E133" i="27"/>
  <c r="D133" i="27"/>
  <c r="C133" i="27"/>
  <c r="F131" i="27"/>
  <c r="E131" i="27"/>
  <c r="D131" i="27"/>
  <c r="C131" i="27"/>
  <c r="F127" i="27"/>
  <c r="E127" i="27"/>
  <c r="D127" i="27"/>
  <c r="C127" i="27"/>
  <c r="M42" i="27"/>
  <c r="L42" i="27"/>
  <c r="K42" i="27"/>
  <c r="J42" i="27"/>
  <c r="I42" i="27"/>
  <c r="H42" i="27"/>
  <c r="G42" i="27"/>
  <c r="F42" i="27"/>
  <c r="E42" i="27"/>
  <c r="D42" i="27"/>
  <c r="L41" i="27"/>
  <c r="K41" i="27"/>
  <c r="J41" i="27"/>
  <c r="I41" i="27"/>
  <c r="H41" i="27"/>
  <c r="G41" i="27"/>
  <c r="F41" i="27"/>
  <c r="E41" i="27"/>
  <c r="D41" i="27"/>
  <c r="K40" i="27"/>
  <c r="J40" i="27"/>
  <c r="I40" i="27"/>
  <c r="H40" i="27"/>
  <c r="G40" i="27"/>
  <c r="F40" i="27"/>
  <c r="E40" i="27"/>
  <c r="D40" i="27"/>
  <c r="M39" i="27"/>
  <c r="L39" i="27"/>
  <c r="K39" i="27"/>
  <c r="J39" i="27"/>
  <c r="I39" i="27"/>
  <c r="H39" i="27"/>
  <c r="G39" i="27"/>
  <c r="F39" i="27"/>
  <c r="E39" i="27"/>
  <c r="D39" i="27"/>
  <c r="M38" i="27"/>
  <c r="L38" i="27"/>
  <c r="K38" i="27"/>
  <c r="J38" i="27"/>
  <c r="P38" i="27" s="1"/>
  <c r="I38" i="27"/>
  <c r="H38" i="27"/>
  <c r="G38" i="27"/>
  <c r="F38" i="27"/>
  <c r="E38" i="27"/>
  <c r="D38" i="27"/>
  <c r="O38" i="27" s="1"/>
  <c r="M37" i="27"/>
  <c r="L37" i="27"/>
  <c r="K37" i="27"/>
  <c r="J37" i="27"/>
  <c r="P37" i="27" s="1"/>
  <c r="I37" i="27"/>
  <c r="H37" i="27"/>
  <c r="G37" i="27"/>
  <c r="F37" i="27"/>
  <c r="E37" i="27"/>
  <c r="D37" i="27"/>
  <c r="O37" i="27" s="1"/>
  <c r="M36" i="27"/>
  <c r="L36" i="27"/>
  <c r="K36" i="27"/>
  <c r="J36" i="27"/>
  <c r="P36" i="27" s="1"/>
  <c r="I36" i="27"/>
  <c r="H36" i="27"/>
  <c r="G36" i="27"/>
  <c r="F36" i="27"/>
  <c r="E36" i="27"/>
  <c r="D36" i="27"/>
  <c r="O36" i="27" s="1"/>
  <c r="M35" i="27"/>
  <c r="L35" i="27"/>
  <c r="K35" i="27"/>
  <c r="J35" i="27"/>
  <c r="P35" i="27" s="1"/>
  <c r="I35" i="27"/>
  <c r="H35" i="27"/>
  <c r="G35" i="27"/>
  <c r="F35" i="27"/>
  <c r="E35" i="27"/>
  <c r="D35" i="27"/>
  <c r="O35" i="27" s="1"/>
  <c r="M34" i="27"/>
  <c r="L34" i="27"/>
  <c r="K34" i="27"/>
  <c r="J34" i="27"/>
  <c r="P34" i="27" s="1"/>
  <c r="I34" i="27"/>
  <c r="H34" i="27"/>
  <c r="G34" i="27"/>
  <c r="F34" i="27"/>
  <c r="E34" i="27"/>
  <c r="D34" i="27"/>
  <c r="O34" i="27" s="1"/>
  <c r="M33" i="27"/>
  <c r="L33" i="27"/>
  <c r="K33" i="27"/>
  <c r="J33" i="27"/>
  <c r="P33" i="27" s="1"/>
  <c r="I33" i="27"/>
  <c r="H33" i="27"/>
  <c r="G33" i="27"/>
  <c r="F33" i="27"/>
  <c r="E33" i="27"/>
  <c r="D33" i="27"/>
  <c r="O33" i="27" s="1"/>
  <c r="M32" i="27"/>
  <c r="L32" i="27"/>
  <c r="K32" i="27"/>
  <c r="J32" i="27"/>
  <c r="P32" i="27" s="1"/>
  <c r="I32" i="27"/>
  <c r="H32" i="27"/>
  <c r="G32" i="27"/>
  <c r="F32" i="27"/>
  <c r="E32" i="27"/>
  <c r="D32" i="27"/>
  <c r="O32" i="27" s="1"/>
  <c r="M31" i="27"/>
  <c r="L31" i="27"/>
  <c r="K31" i="27"/>
  <c r="J31" i="27"/>
  <c r="P31" i="27" s="1"/>
  <c r="I31" i="27"/>
  <c r="H31" i="27"/>
  <c r="G31" i="27"/>
  <c r="F31" i="27"/>
  <c r="E31" i="27"/>
  <c r="D31" i="27"/>
  <c r="O31" i="27" s="1"/>
  <c r="M30" i="27"/>
  <c r="L30" i="27"/>
  <c r="K30" i="27"/>
  <c r="J30" i="27"/>
  <c r="P30" i="27" s="1"/>
  <c r="I30" i="27"/>
  <c r="H30" i="27"/>
  <c r="G30" i="27"/>
  <c r="F30" i="27"/>
  <c r="E30" i="27"/>
  <c r="D30" i="27"/>
  <c r="O30" i="27" s="1"/>
  <c r="M29" i="27"/>
  <c r="L29" i="27"/>
  <c r="J29" i="27"/>
  <c r="I29" i="27"/>
  <c r="G29" i="27"/>
  <c r="F29" i="27"/>
  <c r="E29" i="27"/>
  <c r="D29" i="27"/>
  <c r="M28" i="27"/>
  <c r="L28" i="27"/>
  <c r="K28" i="27"/>
  <c r="J28" i="27"/>
  <c r="P28" i="27" s="1"/>
  <c r="I28" i="27"/>
  <c r="H28" i="27"/>
  <c r="G28" i="27"/>
  <c r="F28" i="27"/>
  <c r="E28" i="27"/>
  <c r="D28" i="27"/>
  <c r="O28" i="27" s="1"/>
  <c r="M27" i="27"/>
  <c r="L27" i="27"/>
  <c r="K27" i="27"/>
  <c r="J27" i="27"/>
  <c r="P27" i="27" s="1"/>
  <c r="I27" i="27"/>
  <c r="H27" i="27"/>
  <c r="G27" i="27"/>
  <c r="F27" i="27"/>
  <c r="E27" i="27"/>
  <c r="D27" i="27"/>
  <c r="M26" i="27"/>
  <c r="L26" i="27"/>
  <c r="K26" i="27"/>
  <c r="J26" i="27"/>
  <c r="P26" i="27" s="1"/>
  <c r="I26" i="27"/>
  <c r="H26" i="27"/>
  <c r="G26" i="27"/>
  <c r="F26" i="27"/>
  <c r="E26" i="27"/>
  <c r="D26" i="27"/>
  <c r="O26" i="27" s="1"/>
  <c r="M25" i="27"/>
  <c r="L25" i="27"/>
  <c r="K25" i="27"/>
  <c r="J25" i="27"/>
  <c r="P25" i="27" s="1"/>
  <c r="I25" i="27"/>
  <c r="H25" i="27"/>
  <c r="G25" i="27"/>
  <c r="F25" i="27"/>
  <c r="E25" i="27"/>
  <c r="D25" i="27"/>
  <c r="O25" i="27" s="1"/>
  <c r="M24" i="27"/>
  <c r="L24" i="27"/>
  <c r="K24" i="27"/>
  <c r="J24" i="27"/>
  <c r="P24" i="27" s="1"/>
  <c r="I24" i="27"/>
  <c r="H24" i="27"/>
  <c r="G24" i="27"/>
  <c r="F24" i="27"/>
  <c r="E24" i="27"/>
  <c r="D24" i="27"/>
  <c r="O24" i="27" s="1"/>
  <c r="M23" i="27"/>
  <c r="L23" i="27"/>
  <c r="K23" i="27"/>
  <c r="J23" i="27"/>
  <c r="P23" i="27" s="1"/>
  <c r="I23" i="27"/>
  <c r="H23" i="27"/>
  <c r="G23" i="27"/>
  <c r="F23" i="27"/>
  <c r="E23" i="27"/>
  <c r="D23" i="27"/>
  <c r="O23" i="27" s="1"/>
  <c r="M21" i="27"/>
  <c r="L21" i="27"/>
  <c r="K21" i="27"/>
  <c r="J21" i="27"/>
  <c r="P21" i="27" s="1"/>
  <c r="I21" i="27"/>
  <c r="H21" i="27"/>
  <c r="G21" i="27"/>
  <c r="F21" i="27"/>
  <c r="E21" i="27"/>
  <c r="D21" i="27"/>
  <c r="O21" i="27" s="1"/>
  <c r="M17" i="27"/>
  <c r="L17" i="27"/>
  <c r="K17" i="27"/>
  <c r="J17" i="27"/>
  <c r="P17" i="27" s="1"/>
  <c r="I17" i="27"/>
  <c r="H17" i="27"/>
  <c r="G17" i="27"/>
  <c r="F17" i="27"/>
  <c r="E17" i="27"/>
  <c r="D17" i="27"/>
  <c r="O17" i="27" s="1"/>
  <c r="M8" i="27"/>
  <c r="L8" i="27"/>
  <c r="K8" i="27"/>
  <c r="J8" i="27"/>
  <c r="P8" i="27" s="1"/>
  <c r="I8" i="27"/>
  <c r="H8" i="27"/>
  <c r="G8" i="27"/>
  <c r="F8" i="27"/>
  <c r="E8" i="27"/>
  <c r="D8" i="27"/>
  <c r="O8" i="27" s="1"/>
  <c r="N139" i="27"/>
  <c r="M139" i="27"/>
  <c r="L139" i="27"/>
  <c r="B115" i="27"/>
  <c r="B90" i="27" s="1"/>
  <c r="B43" i="27" s="1"/>
  <c r="F77" i="27"/>
  <c r="A77" i="27"/>
  <c r="K63" i="27"/>
  <c r="F63" i="27"/>
  <c r="B63" i="27"/>
  <c r="A51" i="27"/>
  <c r="A50" i="27"/>
  <c r="K49" i="27"/>
  <c r="A49" i="27"/>
  <c r="P42" i="27"/>
  <c r="O42" i="27"/>
  <c r="P41" i="27"/>
  <c r="O41" i="27"/>
  <c r="P40" i="27"/>
  <c r="O40" i="27"/>
  <c r="P39" i="27"/>
  <c r="O39" i="27"/>
  <c r="P29" i="27"/>
  <c r="O29" i="27"/>
  <c r="P22" i="27"/>
  <c r="O22" i="27"/>
  <c r="P20" i="27"/>
  <c r="O20" i="27"/>
  <c r="P19" i="27"/>
  <c r="O19" i="27"/>
  <c r="P18" i="27"/>
  <c r="O18" i="27"/>
  <c r="P16" i="27"/>
  <c r="O16" i="27"/>
  <c r="P15" i="27"/>
  <c r="O15" i="27"/>
  <c r="P14" i="27"/>
  <c r="O14" i="27"/>
  <c r="P13" i="27"/>
  <c r="O13" i="27"/>
  <c r="P12" i="27"/>
  <c r="O12" i="27"/>
  <c r="P11" i="27"/>
  <c r="O11" i="27"/>
  <c r="P10" i="27"/>
  <c r="O10" i="27"/>
  <c r="P9" i="27"/>
  <c r="O9" i="27"/>
  <c r="P7" i="27"/>
  <c r="O7" i="27"/>
  <c r="P6" i="27"/>
  <c r="O6" i="27"/>
  <c r="P5" i="27"/>
  <c r="O5" i="27"/>
  <c r="P4" i="27"/>
  <c r="O4" i="27"/>
  <c r="P3" i="27"/>
  <c r="O3" i="27"/>
  <c r="P2" i="27"/>
  <c r="O2" i="27"/>
  <c r="P43" i="27"/>
  <c r="P90" i="27" s="1"/>
  <c r="P153" i="27" s="1"/>
  <c r="F143" i="26"/>
  <c r="E143" i="26"/>
  <c r="N142" i="26" s="1"/>
  <c r="D143" i="26"/>
  <c r="C143" i="26"/>
  <c r="F142" i="26"/>
  <c r="E142" i="26"/>
  <c r="N141" i="26" s="1"/>
  <c r="D142" i="26"/>
  <c r="M141" i="26" s="1"/>
  <c r="C142" i="26"/>
  <c r="L141" i="26" s="1"/>
  <c r="F141" i="26"/>
  <c r="E141" i="26"/>
  <c r="N140" i="26" s="1"/>
  <c r="D141" i="26"/>
  <c r="M140" i="26" s="1"/>
  <c r="C141" i="26"/>
  <c r="L140" i="26" s="1"/>
  <c r="F140" i="26"/>
  <c r="E140" i="26"/>
  <c r="D140" i="26"/>
  <c r="C140" i="26"/>
  <c r="F139" i="26"/>
  <c r="E139" i="26"/>
  <c r="D139" i="26"/>
  <c r="C139" i="26"/>
  <c r="F136" i="26"/>
  <c r="E136" i="26"/>
  <c r="D136" i="26"/>
  <c r="C136" i="26"/>
  <c r="F135" i="26"/>
  <c r="E135" i="26"/>
  <c r="D135" i="26"/>
  <c r="C135" i="26"/>
  <c r="F134" i="26"/>
  <c r="E134" i="26"/>
  <c r="D134" i="26"/>
  <c r="C134" i="26"/>
  <c r="F133" i="26"/>
  <c r="E133" i="26"/>
  <c r="D133" i="26"/>
  <c r="C133" i="26"/>
  <c r="F131" i="26"/>
  <c r="E131" i="26"/>
  <c r="D131" i="26"/>
  <c r="C131" i="26"/>
  <c r="F127" i="26"/>
  <c r="E127" i="26"/>
  <c r="D127" i="26"/>
  <c r="C127" i="26"/>
  <c r="M42" i="26"/>
  <c r="L42" i="26"/>
  <c r="K42" i="26"/>
  <c r="J42" i="26"/>
  <c r="I42" i="26"/>
  <c r="H42" i="26"/>
  <c r="G42" i="26"/>
  <c r="F42" i="26"/>
  <c r="E42" i="26"/>
  <c r="D42" i="26"/>
  <c r="M41" i="26"/>
  <c r="L41" i="26"/>
  <c r="K41" i="26"/>
  <c r="J41" i="26"/>
  <c r="I41" i="26"/>
  <c r="H41" i="26"/>
  <c r="G41" i="26"/>
  <c r="F41" i="26"/>
  <c r="E41" i="26"/>
  <c r="D41" i="26"/>
  <c r="M40" i="26"/>
  <c r="L40" i="26"/>
  <c r="K40" i="26"/>
  <c r="J40" i="26"/>
  <c r="I40" i="26"/>
  <c r="H40" i="26"/>
  <c r="G40" i="26"/>
  <c r="F40" i="26"/>
  <c r="E40" i="26"/>
  <c r="D40" i="26"/>
  <c r="M39" i="26"/>
  <c r="L39" i="26"/>
  <c r="K39" i="26"/>
  <c r="J39" i="26"/>
  <c r="I39" i="26"/>
  <c r="H39" i="26"/>
  <c r="G39" i="26"/>
  <c r="F39" i="26"/>
  <c r="E39" i="26"/>
  <c r="D39" i="26"/>
  <c r="M38" i="26"/>
  <c r="L38" i="26"/>
  <c r="K38" i="26"/>
  <c r="J38" i="26"/>
  <c r="P38" i="26" s="1"/>
  <c r="I38" i="26"/>
  <c r="H38" i="26"/>
  <c r="G38" i="26"/>
  <c r="F38" i="26"/>
  <c r="E38" i="26"/>
  <c r="D38" i="26"/>
  <c r="O38" i="26" s="1"/>
  <c r="M37" i="26"/>
  <c r="L37" i="26"/>
  <c r="K37" i="26"/>
  <c r="J37" i="26"/>
  <c r="P37" i="26" s="1"/>
  <c r="I37" i="26"/>
  <c r="H37" i="26"/>
  <c r="G37" i="26"/>
  <c r="F37" i="26"/>
  <c r="E37" i="26"/>
  <c r="D37" i="26"/>
  <c r="O37" i="26" s="1"/>
  <c r="M36" i="26"/>
  <c r="L36" i="26"/>
  <c r="K36" i="26"/>
  <c r="J36" i="26"/>
  <c r="P36" i="26" s="1"/>
  <c r="I36" i="26"/>
  <c r="H36" i="26"/>
  <c r="G36" i="26"/>
  <c r="F36" i="26"/>
  <c r="E36" i="26"/>
  <c r="D36" i="26"/>
  <c r="O36" i="26" s="1"/>
  <c r="M35" i="26"/>
  <c r="L35" i="26"/>
  <c r="K35" i="26"/>
  <c r="J35" i="26"/>
  <c r="P35" i="26" s="1"/>
  <c r="I35" i="26"/>
  <c r="H35" i="26"/>
  <c r="G35" i="26"/>
  <c r="F35" i="26"/>
  <c r="E35" i="26"/>
  <c r="D35" i="26"/>
  <c r="O35" i="26" s="1"/>
  <c r="M34" i="26"/>
  <c r="L34" i="26"/>
  <c r="K34" i="26"/>
  <c r="J34" i="26"/>
  <c r="P34" i="26" s="1"/>
  <c r="I34" i="26"/>
  <c r="H34" i="26"/>
  <c r="G34" i="26"/>
  <c r="F34" i="26"/>
  <c r="E34" i="26"/>
  <c r="D34" i="26"/>
  <c r="O34" i="26" s="1"/>
  <c r="M33" i="26"/>
  <c r="L33" i="26"/>
  <c r="K33" i="26"/>
  <c r="J33" i="26"/>
  <c r="P33" i="26" s="1"/>
  <c r="I33" i="26"/>
  <c r="H33" i="26"/>
  <c r="G33" i="26"/>
  <c r="F33" i="26"/>
  <c r="E33" i="26"/>
  <c r="D33" i="26"/>
  <c r="O33" i="26" s="1"/>
  <c r="M32" i="26"/>
  <c r="L32" i="26"/>
  <c r="K32" i="26"/>
  <c r="J32" i="26"/>
  <c r="P32" i="26" s="1"/>
  <c r="I32" i="26"/>
  <c r="H32" i="26"/>
  <c r="G32" i="26"/>
  <c r="F32" i="26"/>
  <c r="E32" i="26"/>
  <c r="D32" i="26"/>
  <c r="O32" i="26" s="1"/>
  <c r="M31" i="26"/>
  <c r="L31" i="26"/>
  <c r="K31" i="26"/>
  <c r="J31" i="26"/>
  <c r="P31" i="26" s="1"/>
  <c r="I31" i="26"/>
  <c r="H31" i="26"/>
  <c r="G31" i="26"/>
  <c r="F31" i="26"/>
  <c r="E31" i="26"/>
  <c r="D31" i="26"/>
  <c r="O31" i="26" s="1"/>
  <c r="M30" i="26"/>
  <c r="L30" i="26"/>
  <c r="K30" i="26"/>
  <c r="J30" i="26"/>
  <c r="P30" i="26" s="1"/>
  <c r="I30" i="26"/>
  <c r="H30" i="26"/>
  <c r="G30" i="26"/>
  <c r="F30" i="26"/>
  <c r="E30" i="26"/>
  <c r="D30" i="26"/>
  <c r="O30" i="26" s="1"/>
  <c r="M29" i="26"/>
  <c r="L29" i="26"/>
  <c r="K29" i="26"/>
  <c r="J29" i="26"/>
  <c r="P29" i="26" s="1"/>
  <c r="I29" i="26"/>
  <c r="H29" i="26"/>
  <c r="G29" i="26"/>
  <c r="F29" i="26"/>
  <c r="E29" i="26"/>
  <c r="D29" i="26"/>
  <c r="O29" i="26" s="1"/>
  <c r="M28" i="26"/>
  <c r="L28" i="26"/>
  <c r="K28" i="26"/>
  <c r="J28" i="26"/>
  <c r="P28" i="26" s="1"/>
  <c r="I28" i="26"/>
  <c r="H28" i="26"/>
  <c r="G28" i="26"/>
  <c r="F28" i="26"/>
  <c r="E28" i="26"/>
  <c r="D28" i="26"/>
  <c r="O28" i="26" s="1"/>
  <c r="M27" i="26"/>
  <c r="L27" i="26"/>
  <c r="K27" i="26"/>
  <c r="J27" i="26"/>
  <c r="P27" i="26" s="1"/>
  <c r="I27" i="26"/>
  <c r="H27" i="26"/>
  <c r="G27" i="26"/>
  <c r="F27" i="26"/>
  <c r="E27" i="26"/>
  <c r="D27" i="26"/>
  <c r="M26" i="26"/>
  <c r="L26" i="26"/>
  <c r="K26" i="26"/>
  <c r="J26" i="26"/>
  <c r="P26" i="26" s="1"/>
  <c r="I26" i="26"/>
  <c r="H26" i="26"/>
  <c r="G26" i="26"/>
  <c r="F26" i="26"/>
  <c r="E26" i="26"/>
  <c r="D26" i="26"/>
  <c r="O26" i="26" s="1"/>
  <c r="M25" i="26"/>
  <c r="L25" i="26"/>
  <c r="K25" i="26"/>
  <c r="J25" i="26"/>
  <c r="P25" i="26" s="1"/>
  <c r="I25" i="26"/>
  <c r="H25" i="26"/>
  <c r="G25" i="26"/>
  <c r="F25" i="26"/>
  <c r="E25" i="26"/>
  <c r="D25" i="26"/>
  <c r="O25" i="26" s="1"/>
  <c r="M24" i="26"/>
  <c r="L24" i="26"/>
  <c r="K24" i="26"/>
  <c r="J24" i="26"/>
  <c r="P24" i="26" s="1"/>
  <c r="I24" i="26"/>
  <c r="H24" i="26"/>
  <c r="G24" i="26"/>
  <c r="F24" i="26"/>
  <c r="E24" i="26"/>
  <c r="D24" i="26"/>
  <c r="O24" i="26" s="1"/>
  <c r="M23" i="26"/>
  <c r="L23" i="26"/>
  <c r="K23" i="26"/>
  <c r="J23" i="26"/>
  <c r="P23" i="26" s="1"/>
  <c r="I23" i="26"/>
  <c r="H23" i="26"/>
  <c r="G23" i="26"/>
  <c r="F23" i="26"/>
  <c r="E23" i="26"/>
  <c r="D23" i="26"/>
  <c r="O23" i="26" s="1"/>
  <c r="M21" i="26"/>
  <c r="L21" i="26"/>
  <c r="K21" i="26"/>
  <c r="J21" i="26"/>
  <c r="P21" i="26" s="1"/>
  <c r="I21" i="26"/>
  <c r="H21" i="26"/>
  <c r="G21" i="26"/>
  <c r="F21" i="26"/>
  <c r="E21" i="26"/>
  <c r="D21" i="26"/>
  <c r="O21" i="26" s="1"/>
  <c r="M17" i="26"/>
  <c r="L17" i="26"/>
  <c r="K17" i="26"/>
  <c r="J17" i="26"/>
  <c r="P17" i="26" s="1"/>
  <c r="I17" i="26"/>
  <c r="H17" i="26"/>
  <c r="G17" i="26"/>
  <c r="F17" i="26"/>
  <c r="E17" i="26"/>
  <c r="D17" i="26"/>
  <c r="O17" i="26" s="1"/>
  <c r="M8" i="26"/>
  <c r="L8" i="26"/>
  <c r="K8" i="26"/>
  <c r="J8" i="26"/>
  <c r="P8" i="26" s="1"/>
  <c r="I8" i="26"/>
  <c r="H8" i="26"/>
  <c r="G8" i="26"/>
  <c r="F8" i="26"/>
  <c r="E8" i="26"/>
  <c r="D8" i="26"/>
  <c r="O8" i="26" s="1"/>
  <c r="M142" i="26"/>
  <c r="L142" i="26"/>
  <c r="N139" i="26"/>
  <c r="M139" i="26"/>
  <c r="L139" i="26"/>
  <c r="B115" i="26"/>
  <c r="B90" i="26" s="1"/>
  <c r="B43" i="26" s="1"/>
  <c r="F77" i="26"/>
  <c r="A77" i="26"/>
  <c r="K63" i="26"/>
  <c r="F63" i="26"/>
  <c r="B63" i="26"/>
  <c r="A51" i="26"/>
  <c r="A50" i="26"/>
  <c r="K49" i="26"/>
  <c r="A49" i="26"/>
  <c r="P42" i="26"/>
  <c r="O42" i="26"/>
  <c r="P41" i="26"/>
  <c r="O41" i="26"/>
  <c r="P40" i="26"/>
  <c r="O40" i="26"/>
  <c r="P39" i="26"/>
  <c r="O39" i="26"/>
  <c r="P22" i="26"/>
  <c r="O22" i="26"/>
  <c r="P20" i="26"/>
  <c r="O20" i="26"/>
  <c r="P19" i="26"/>
  <c r="O19" i="26"/>
  <c r="P18" i="26"/>
  <c r="O18" i="26"/>
  <c r="P16" i="26"/>
  <c r="O16" i="26"/>
  <c r="P15" i="26"/>
  <c r="O15" i="26"/>
  <c r="P14" i="26"/>
  <c r="O14" i="26"/>
  <c r="P13" i="26"/>
  <c r="O13" i="26"/>
  <c r="P12" i="26"/>
  <c r="O12" i="26"/>
  <c r="P11" i="26"/>
  <c r="O11" i="26"/>
  <c r="P10" i="26"/>
  <c r="O10" i="26"/>
  <c r="P9" i="26"/>
  <c r="O9" i="26"/>
  <c r="P7" i="26"/>
  <c r="O7" i="26"/>
  <c r="P6" i="26"/>
  <c r="O6" i="26"/>
  <c r="P5" i="26"/>
  <c r="O5" i="26"/>
  <c r="P4" i="26"/>
  <c r="O4" i="26"/>
  <c r="P3" i="26"/>
  <c r="O3" i="26"/>
  <c r="P2" i="26"/>
  <c r="O2" i="26"/>
  <c r="P43" i="26"/>
  <c r="P90" i="26" s="1"/>
  <c r="P153" i="26" s="1"/>
  <c r="F143" i="25"/>
  <c r="E143" i="25"/>
  <c r="N142" i="25" s="1"/>
  <c r="D143" i="25"/>
  <c r="M142" i="25" s="1"/>
  <c r="C143" i="25"/>
  <c r="L142" i="25" s="1"/>
  <c r="F142" i="25"/>
  <c r="E142" i="25"/>
  <c r="N141" i="25" s="1"/>
  <c r="D142" i="25"/>
  <c r="M141" i="25" s="1"/>
  <c r="C142" i="25"/>
  <c r="L141" i="25" s="1"/>
  <c r="F141" i="25"/>
  <c r="E141" i="25"/>
  <c r="N140" i="25" s="1"/>
  <c r="D141" i="25"/>
  <c r="M140" i="25" s="1"/>
  <c r="C141" i="25"/>
  <c r="L140" i="25" s="1"/>
  <c r="F140" i="25"/>
  <c r="E140" i="25"/>
  <c r="D140" i="25"/>
  <c r="C140" i="25"/>
  <c r="F139" i="25"/>
  <c r="E139" i="25"/>
  <c r="D139" i="25"/>
  <c r="C139" i="25"/>
  <c r="F136" i="25"/>
  <c r="E136" i="25"/>
  <c r="D136" i="25"/>
  <c r="C136" i="25"/>
  <c r="F135" i="25"/>
  <c r="E135" i="25"/>
  <c r="D135" i="25"/>
  <c r="C135" i="25"/>
  <c r="F134" i="25"/>
  <c r="E134" i="25"/>
  <c r="D134" i="25"/>
  <c r="C134" i="25"/>
  <c r="F133" i="25"/>
  <c r="E133" i="25"/>
  <c r="D133" i="25"/>
  <c r="C133" i="25"/>
  <c r="F131" i="25"/>
  <c r="E131" i="25"/>
  <c r="D131" i="25"/>
  <c r="C131" i="25"/>
  <c r="F127" i="25"/>
  <c r="E127" i="25"/>
  <c r="D127" i="25"/>
  <c r="C127" i="25"/>
  <c r="M42" i="25"/>
  <c r="L42" i="25"/>
  <c r="K42" i="25"/>
  <c r="J42" i="25"/>
  <c r="I42" i="25"/>
  <c r="H42" i="25"/>
  <c r="G42" i="25"/>
  <c r="F42" i="25"/>
  <c r="E42" i="25"/>
  <c r="D42" i="25"/>
  <c r="M41" i="25"/>
  <c r="L41" i="25"/>
  <c r="K41" i="25"/>
  <c r="J41" i="25"/>
  <c r="I41" i="25"/>
  <c r="H41" i="25"/>
  <c r="G41" i="25"/>
  <c r="F41" i="25"/>
  <c r="E41" i="25"/>
  <c r="D41" i="25"/>
  <c r="M40" i="25"/>
  <c r="L40" i="25"/>
  <c r="K40" i="25"/>
  <c r="J40" i="25"/>
  <c r="I40" i="25"/>
  <c r="H40" i="25"/>
  <c r="G40" i="25"/>
  <c r="F40" i="25"/>
  <c r="E40" i="25"/>
  <c r="D40" i="25"/>
  <c r="M39" i="25"/>
  <c r="L39" i="25"/>
  <c r="K39" i="25"/>
  <c r="J39" i="25"/>
  <c r="I39" i="25"/>
  <c r="H39" i="25"/>
  <c r="G39" i="25"/>
  <c r="F39" i="25"/>
  <c r="E39" i="25"/>
  <c r="D39" i="25"/>
  <c r="M38" i="25"/>
  <c r="L38" i="25"/>
  <c r="K38" i="25"/>
  <c r="J38" i="25"/>
  <c r="P38" i="25" s="1"/>
  <c r="I38" i="25"/>
  <c r="H38" i="25"/>
  <c r="G38" i="25"/>
  <c r="F38" i="25"/>
  <c r="E38" i="25"/>
  <c r="D38" i="25"/>
  <c r="O38" i="25" s="1"/>
  <c r="M37" i="25"/>
  <c r="L37" i="25"/>
  <c r="K37" i="25"/>
  <c r="J37" i="25"/>
  <c r="P37" i="25" s="1"/>
  <c r="I37" i="25"/>
  <c r="H37" i="25"/>
  <c r="G37" i="25"/>
  <c r="F37" i="25"/>
  <c r="E37" i="25"/>
  <c r="D37" i="25"/>
  <c r="O37" i="25" s="1"/>
  <c r="M36" i="25"/>
  <c r="L36" i="25"/>
  <c r="K36" i="25"/>
  <c r="J36" i="25"/>
  <c r="P36" i="25" s="1"/>
  <c r="I36" i="25"/>
  <c r="H36" i="25"/>
  <c r="G36" i="25"/>
  <c r="F36" i="25"/>
  <c r="E36" i="25"/>
  <c r="D36" i="25"/>
  <c r="O36" i="25" s="1"/>
  <c r="M35" i="25"/>
  <c r="L35" i="25"/>
  <c r="K35" i="25"/>
  <c r="J35" i="25"/>
  <c r="P35" i="25" s="1"/>
  <c r="I35" i="25"/>
  <c r="H35" i="25"/>
  <c r="G35" i="25"/>
  <c r="F35" i="25"/>
  <c r="E35" i="25"/>
  <c r="D35" i="25"/>
  <c r="O35" i="25" s="1"/>
  <c r="M34" i="25"/>
  <c r="L34" i="25"/>
  <c r="K34" i="25"/>
  <c r="J34" i="25"/>
  <c r="P34" i="25" s="1"/>
  <c r="I34" i="25"/>
  <c r="H34" i="25"/>
  <c r="G34" i="25"/>
  <c r="F34" i="25"/>
  <c r="E34" i="25"/>
  <c r="D34" i="25"/>
  <c r="O34" i="25" s="1"/>
  <c r="M33" i="25"/>
  <c r="L33" i="25"/>
  <c r="K33" i="25"/>
  <c r="J33" i="25"/>
  <c r="P33" i="25" s="1"/>
  <c r="I33" i="25"/>
  <c r="H33" i="25"/>
  <c r="G33" i="25"/>
  <c r="F33" i="25"/>
  <c r="E33" i="25"/>
  <c r="D33" i="25"/>
  <c r="O33" i="25" s="1"/>
  <c r="M32" i="25"/>
  <c r="L32" i="25"/>
  <c r="K32" i="25"/>
  <c r="J32" i="25"/>
  <c r="P32" i="25" s="1"/>
  <c r="I32" i="25"/>
  <c r="H32" i="25"/>
  <c r="G32" i="25"/>
  <c r="F32" i="25"/>
  <c r="E32" i="25"/>
  <c r="D32" i="25"/>
  <c r="O32" i="25" s="1"/>
  <c r="M31" i="25"/>
  <c r="L31" i="25"/>
  <c r="K31" i="25"/>
  <c r="J31" i="25"/>
  <c r="P31" i="25" s="1"/>
  <c r="I31" i="25"/>
  <c r="H31" i="25"/>
  <c r="G31" i="25"/>
  <c r="F31" i="25"/>
  <c r="E31" i="25"/>
  <c r="D31" i="25"/>
  <c r="O31" i="25" s="1"/>
  <c r="M30" i="25"/>
  <c r="L30" i="25"/>
  <c r="K30" i="25"/>
  <c r="J30" i="25"/>
  <c r="P30" i="25" s="1"/>
  <c r="I30" i="25"/>
  <c r="H30" i="25"/>
  <c r="G30" i="25"/>
  <c r="F30" i="25"/>
  <c r="E30" i="25"/>
  <c r="D30" i="25"/>
  <c r="O30" i="25" s="1"/>
  <c r="M29" i="25"/>
  <c r="L29" i="25"/>
  <c r="K29" i="25"/>
  <c r="J29" i="25"/>
  <c r="P29" i="25" s="1"/>
  <c r="I29" i="25"/>
  <c r="H29" i="25"/>
  <c r="G29" i="25"/>
  <c r="F29" i="25"/>
  <c r="E29" i="25"/>
  <c r="D29" i="25"/>
  <c r="O29" i="25" s="1"/>
  <c r="M28" i="25"/>
  <c r="L28" i="25"/>
  <c r="K28" i="25"/>
  <c r="J28" i="25"/>
  <c r="P28" i="25" s="1"/>
  <c r="I28" i="25"/>
  <c r="H28" i="25"/>
  <c r="G28" i="25"/>
  <c r="F28" i="25"/>
  <c r="E28" i="25"/>
  <c r="D28" i="25"/>
  <c r="O28" i="25" s="1"/>
  <c r="M27" i="25"/>
  <c r="L27" i="25"/>
  <c r="K27" i="25"/>
  <c r="J27" i="25"/>
  <c r="P27" i="25" s="1"/>
  <c r="I27" i="25"/>
  <c r="H27" i="25"/>
  <c r="G27" i="25"/>
  <c r="F27" i="25"/>
  <c r="E27" i="25"/>
  <c r="D27" i="25"/>
  <c r="O27" i="25" s="1"/>
  <c r="M26" i="25"/>
  <c r="L26" i="25"/>
  <c r="K26" i="25"/>
  <c r="J26" i="25"/>
  <c r="P26" i="25" s="1"/>
  <c r="I26" i="25"/>
  <c r="H26" i="25"/>
  <c r="G26" i="25"/>
  <c r="F26" i="25"/>
  <c r="E26" i="25"/>
  <c r="D26" i="25"/>
  <c r="O26" i="25" s="1"/>
  <c r="M25" i="25"/>
  <c r="L25" i="25"/>
  <c r="K25" i="25"/>
  <c r="J25" i="25"/>
  <c r="P25" i="25" s="1"/>
  <c r="I25" i="25"/>
  <c r="H25" i="25"/>
  <c r="G25" i="25"/>
  <c r="F25" i="25"/>
  <c r="E25" i="25"/>
  <c r="D25" i="25"/>
  <c r="O25" i="25" s="1"/>
  <c r="M24" i="25"/>
  <c r="L24" i="25"/>
  <c r="K24" i="25"/>
  <c r="J24" i="25"/>
  <c r="P24" i="25" s="1"/>
  <c r="I24" i="25"/>
  <c r="H24" i="25"/>
  <c r="G24" i="25"/>
  <c r="F24" i="25"/>
  <c r="E24" i="25"/>
  <c r="D24" i="25"/>
  <c r="O24" i="25" s="1"/>
  <c r="M23" i="25"/>
  <c r="L23" i="25"/>
  <c r="K23" i="25"/>
  <c r="J23" i="25"/>
  <c r="P23" i="25" s="1"/>
  <c r="I23" i="25"/>
  <c r="H23" i="25"/>
  <c r="G23" i="25"/>
  <c r="F23" i="25"/>
  <c r="E23" i="25"/>
  <c r="D23" i="25"/>
  <c r="O23" i="25" s="1"/>
  <c r="M21" i="25"/>
  <c r="L21" i="25"/>
  <c r="K21" i="25"/>
  <c r="J21" i="25"/>
  <c r="P21" i="25" s="1"/>
  <c r="I21" i="25"/>
  <c r="H21" i="25"/>
  <c r="G21" i="25"/>
  <c r="F21" i="25"/>
  <c r="E21" i="25"/>
  <c r="D21" i="25"/>
  <c r="O21" i="25" s="1"/>
  <c r="M17" i="25"/>
  <c r="L17" i="25"/>
  <c r="K17" i="25"/>
  <c r="J17" i="25"/>
  <c r="P17" i="25" s="1"/>
  <c r="I17" i="25"/>
  <c r="H17" i="25"/>
  <c r="G17" i="25"/>
  <c r="F17" i="25"/>
  <c r="E17" i="25"/>
  <c r="D17" i="25"/>
  <c r="O17" i="25" s="1"/>
  <c r="M8" i="25"/>
  <c r="L8" i="25"/>
  <c r="K8" i="25"/>
  <c r="J8" i="25"/>
  <c r="P8" i="25" s="1"/>
  <c r="I8" i="25"/>
  <c r="H8" i="25"/>
  <c r="G8" i="25"/>
  <c r="F8" i="25"/>
  <c r="E8" i="25"/>
  <c r="D8" i="25"/>
  <c r="O8" i="25" s="1"/>
  <c r="N139" i="25"/>
  <c r="M139" i="25"/>
  <c r="L139" i="25"/>
  <c r="B115" i="25"/>
  <c r="S90" i="25" s="1"/>
  <c r="F115" i="25" s="1"/>
  <c r="B153" i="25" s="1"/>
  <c r="F77" i="25"/>
  <c r="A77" i="25"/>
  <c r="K63" i="25"/>
  <c r="F63" i="25"/>
  <c r="B63" i="25"/>
  <c r="A51" i="25"/>
  <c r="A50" i="25"/>
  <c r="K49" i="25"/>
  <c r="A49" i="25"/>
  <c r="P42" i="25"/>
  <c r="O42" i="25"/>
  <c r="P41" i="25"/>
  <c r="O41" i="25"/>
  <c r="P40" i="25"/>
  <c r="O40" i="25"/>
  <c r="P39" i="25"/>
  <c r="O39" i="25"/>
  <c r="P22" i="25"/>
  <c r="O22" i="25"/>
  <c r="P20" i="25"/>
  <c r="O20" i="25"/>
  <c r="P19" i="25"/>
  <c r="O19" i="25"/>
  <c r="P18" i="25"/>
  <c r="O18" i="25"/>
  <c r="P16" i="25"/>
  <c r="O16" i="25"/>
  <c r="P15" i="25"/>
  <c r="O15" i="25"/>
  <c r="P14" i="25"/>
  <c r="O14" i="25"/>
  <c r="P13" i="25"/>
  <c r="O13" i="25"/>
  <c r="P12" i="25"/>
  <c r="O12" i="25"/>
  <c r="P11" i="25"/>
  <c r="O11" i="25"/>
  <c r="P10" i="25"/>
  <c r="O10" i="25"/>
  <c r="P9" i="25"/>
  <c r="O9" i="25"/>
  <c r="P7" i="25"/>
  <c r="O7" i="25"/>
  <c r="P6" i="25"/>
  <c r="O6" i="25"/>
  <c r="P5" i="25"/>
  <c r="O5" i="25"/>
  <c r="P4" i="25"/>
  <c r="O4" i="25"/>
  <c r="P3" i="25"/>
  <c r="O3" i="25"/>
  <c r="P2" i="25"/>
  <c r="O2" i="25"/>
  <c r="P43" i="25"/>
  <c r="P90" i="25" s="1"/>
  <c r="P153" i="25" s="1"/>
  <c r="F143" i="23"/>
  <c r="F142" i="23"/>
  <c r="F141" i="23"/>
  <c r="F140" i="23"/>
  <c r="F139" i="23"/>
  <c r="F136" i="23"/>
  <c r="F135" i="23"/>
  <c r="F134" i="23"/>
  <c r="F133" i="23"/>
  <c r="F131" i="23"/>
  <c r="F127" i="23"/>
  <c r="M42" i="23"/>
  <c r="L42" i="23"/>
  <c r="K42" i="23"/>
  <c r="J42" i="23"/>
  <c r="I42" i="23"/>
  <c r="H42" i="23"/>
  <c r="G42" i="23"/>
  <c r="F42" i="23"/>
  <c r="E42" i="23"/>
  <c r="D42" i="23"/>
  <c r="M41" i="23"/>
  <c r="L41" i="23"/>
  <c r="K41" i="23"/>
  <c r="J41" i="23"/>
  <c r="I41" i="23"/>
  <c r="H41" i="23"/>
  <c r="G41" i="23"/>
  <c r="F41" i="23"/>
  <c r="E41" i="23"/>
  <c r="D41" i="23"/>
  <c r="M40" i="23"/>
  <c r="L40" i="23"/>
  <c r="K40" i="23"/>
  <c r="J40" i="23"/>
  <c r="I40" i="23"/>
  <c r="H40" i="23"/>
  <c r="G40" i="23"/>
  <c r="F40" i="23"/>
  <c r="E40" i="23"/>
  <c r="D40" i="23"/>
  <c r="M39" i="23"/>
  <c r="L39" i="23"/>
  <c r="K39" i="23"/>
  <c r="J39" i="23"/>
  <c r="I39" i="23"/>
  <c r="H39" i="23"/>
  <c r="G39" i="23"/>
  <c r="F39" i="23"/>
  <c r="E39" i="23"/>
  <c r="D39" i="23"/>
  <c r="M38" i="23"/>
  <c r="L38" i="23"/>
  <c r="K38" i="23"/>
  <c r="J38" i="23"/>
  <c r="P38" i="23" s="1"/>
  <c r="I38" i="23"/>
  <c r="H38" i="23"/>
  <c r="G38" i="23"/>
  <c r="F38" i="23"/>
  <c r="E38" i="23"/>
  <c r="D38" i="23"/>
  <c r="O38" i="23" s="1"/>
  <c r="M37" i="23"/>
  <c r="L37" i="23"/>
  <c r="K37" i="23"/>
  <c r="J37" i="23"/>
  <c r="P37" i="23" s="1"/>
  <c r="I37" i="23"/>
  <c r="H37" i="23"/>
  <c r="G37" i="23"/>
  <c r="F37" i="23"/>
  <c r="E37" i="23"/>
  <c r="D37" i="23"/>
  <c r="O37" i="23" s="1"/>
  <c r="M36" i="23"/>
  <c r="L36" i="23"/>
  <c r="K36" i="23"/>
  <c r="J36" i="23"/>
  <c r="P36" i="23" s="1"/>
  <c r="I36" i="23"/>
  <c r="H36" i="23"/>
  <c r="G36" i="23"/>
  <c r="F36" i="23"/>
  <c r="E36" i="23"/>
  <c r="D36" i="23"/>
  <c r="O36" i="23" s="1"/>
  <c r="M35" i="23"/>
  <c r="L35" i="23"/>
  <c r="K35" i="23"/>
  <c r="J35" i="23"/>
  <c r="P35" i="23" s="1"/>
  <c r="I35" i="23"/>
  <c r="H35" i="23"/>
  <c r="G35" i="23"/>
  <c r="F35" i="23"/>
  <c r="E35" i="23"/>
  <c r="D35" i="23"/>
  <c r="O35" i="23" s="1"/>
  <c r="M34" i="23"/>
  <c r="L34" i="23"/>
  <c r="K34" i="23"/>
  <c r="J34" i="23"/>
  <c r="P34" i="23" s="1"/>
  <c r="I34" i="23"/>
  <c r="H34" i="23"/>
  <c r="G34" i="23"/>
  <c r="F34" i="23"/>
  <c r="E34" i="23"/>
  <c r="D34" i="23"/>
  <c r="O34" i="23" s="1"/>
  <c r="M33" i="23"/>
  <c r="L33" i="23"/>
  <c r="K33" i="23"/>
  <c r="J33" i="23"/>
  <c r="P33" i="23" s="1"/>
  <c r="I33" i="23"/>
  <c r="H33" i="23"/>
  <c r="G33" i="23"/>
  <c r="F33" i="23"/>
  <c r="E33" i="23"/>
  <c r="D33" i="23"/>
  <c r="O33" i="23" s="1"/>
  <c r="M32" i="23"/>
  <c r="L32" i="23"/>
  <c r="K32" i="23"/>
  <c r="J32" i="23"/>
  <c r="P32" i="23" s="1"/>
  <c r="I32" i="23"/>
  <c r="H32" i="23"/>
  <c r="G32" i="23"/>
  <c r="F32" i="23"/>
  <c r="E32" i="23"/>
  <c r="D32" i="23"/>
  <c r="O32" i="23" s="1"/>
  <c r="M31" i="23"/>
  <c r="L31" i="23"/>
  <c r="K31" i="23"/>
  <c r="J31" i="23"/>
  <c r="P31" i="23" s="1"/>
  <c r="I31" i="23"/>
  <c r="H31" i="23"/>
  <c r="G31" i="23"/>
  <c r="F31" i="23"/>
  <c r="E31" i="23"/>
  <c r="D31" i="23"/>
  <c r="O31" i="23" s="1"/>
  <c r="M30" i="23"/>
  <c r="L30" i="23"/>
  <c r="K30" i="23"/>
  <c r="J30" i="23"/>
  <c r="P30" i="23" s="1"/>
  <c r="I30" i="23"/>
  <c r="H30" i="23"/>
  <c r="G30" i="23"/>
  <c r="F30" i="23"/>
  <c r="E30" i="23"/>
  <c r="D30" i="23"/>
  <c r="O30" i="23" s="1"/>
  <c r="M29" i="23"/>
  <c r="L29" i="23"/>
  <c r="K29" i="23"/>
  <c r="J29" i="23"/>
  <c r="P29" i="23" s="1"/>
  <c r="I29" i="23"/>
  <c r="H29" i="23"/>
  <c r="G29" i="23"/>
  <c r="F29" i="23"/>
  <c r="E29" i="23"/>
  <c r="D29" i="23"/>
  <c r="O29" i="23" s="1"/>
  <c r="M28" i="23"/>
  <c r="L28" i="23"/>
  <c r="K28" i="23"/>
  <c r="J28" i="23"/>
  <c r="P28" i="23" s="1"/>
  <c r="I28" i="23"/>
  <c r="H28" i="23"/>
  <c r="G28" i="23"/>
  <c r="F28" i="23"/>
  <c r="E28" i="23"/>
  <c r="D28" i="23"/>
  <c r="O28" i="23" s="1"/>
  <c r="M27" i="23"/>
  <c r="L27" i="23"/>
  <c r="K27" i="23"/>
  <c r="J27" i="23"/>
  <c r="P27" i="23" s="1"/>
  <c r="I27" i="23"/>
  <c r="H27" i="23"/>
  <c r="G27" i="23"/>
  <c r="F27" i="23"/>
  <c r="E27" i="23"/>
  <c r="D27" i="23"/>
  <c r="O27" i="23" s="1"/>
  <c r="M26" i="23"/>
  <c r="L26" i="23"/>
  <c r="K26" i="23"/>
  <c r="J26" i="23"/>
  <c r="P26" i="23" s="1"/>
  <c r="I26" i="23"/>
  <c r="H26" i="23"/>
  <c r="G26" i="23"/>
  <c r="F26" i="23"/>
  <c r="E26" i="23"/>
  <c r="D26" i="23"/>
  <c r="O26" i="23" s="1"/>
  <c r="M25" i="23"/>
  <c r="L25" i="23"/>
  <c r="K25" i="23"/>
  <c r="J25" i="23"/>
  <c r="P25" i="23" s="1"/>
  <c r="I25" i="23"/>
  <c r="H25" i="23"/>
  <c r="G25" i="23"/>
  <c r="F25" i="23"/>
  <c r="E25" i="23"/>
  <c r="D25" i="23"/>
  <c r="O25" i="23" s="1"/>
  <c r="M24" i="23"/>
  <c r="L24" i="23"/>
  <c r="K24" i="23"/>
  <c r="J24" i="23"/>
  <c r="P24" i="23" s="1"/>
  <c r="I24" i="23"/>
  <c r="H24" i="23"/>
  <c r="G24" i="23"/>
  <c r="F24" i="23"/>
  <c r="E24" i="23"/>
  <c r="D24" i="23"/>
  <c r="O24" i="23" s="1"/>
  <c r="M23" i="23"/>
  <c r="L23" i="23"/>
  <c r="K23" i="23"/>
  <c r="J23" i="23"/>
  <c r="P23" i="23" s="1"/>
  <c r="I23" i="23"/>
  <c r="H23" i="23"/>
  <c r="G23" i="23"/>
  <c r="F23" i="23"/>
  <c r="E23" i="23"/>
  <c r="D23" i="23"/>
  <c r="O23" i="23" s="1"/>
  <c r="M21" i="23"/>
  <c r="L21" i="23"/>
  <c r="K21" i="23"/>
  <c r="J21" i="23"/>
  <c r="P21" i="23" s="1"/>
  <c r="I21" i="23"/>
  <c r="H21" i="23"/>
  <c r="G21" i="23"/>
  <c r="F21" i="23"/>
  <c r="E21" i="23"/>
  <c r="D21" i="23"/>
  <c r="O21" i="23" s="1"/>
  <c r="M17" i="23"/>
  <c r="L17" i="23"/>
  <c r="K17" i="23"/>
  <c r="J17" i="23"/>
  <c r="P17" i="23" s="1"/>
  <c r="I17" i="23"/>
  <c r="H17" i="23"/>
  <c r="G17" i="23"/>
  <c r="F17" i="23"/>
  <c r="E17" i="23"/>
  <c r="D17" i="23"/>
  <c r="O17" i="23" s="1"/>
  <c r="M8" i="23"/>
  <c r="L8" i="23"/>
  <c r="K8" i="23"/>
  <c r="J8" i="23"/>
  <c r="P8" i="23" s="1"/>
  <c r="I8" i="23"/>
  <c r="H8" i="23"/>
  <c r="G8" i="23"/>
  <c r="F8" i="23"/>
  <c r="E8" i="23"/>
  <c r="D8" i="23"/>
  <c r="O8" i="23" s="1"/>
  <c r="N142" i="23"/>
  <c r="M142" i="23"/>
  <c r="L142" i="23"/>
  <c r="N141" i="23"/>
  <c r="M141" i="23"/>
  <c r="L141" i="23"/>
  <c r="N140" i="23"/>
  <c r="M140" i="23"/>
  <c r="L140" i="23"/>
  <c r="L143" i="23" s="1"/>
  <c r="N139" i="23"/>
  <c r="M139" i="23"/>
  <c r="L139" i="23"/>
  <c r="B115" i="23"/>
  <c r="S90" i="23" s="1"/>
  <c r="F115" i="23" s="1"/>
  <c r="B153" i="23" s="1"/>
  <c r="F77" i="23"/>
  <c r="A77" i="23"/>
  <c r="K63" i="23"/>
  <c r="F63" i="23"/>
  <c r="B63" i="23"/>
  <c r="A51" i="23"/>
  <c r="A50" i="23"/>
  <c r="K49" i="23"/>
  <c r="A49" i="23"/>
  <c r="P42" i="23"/>
  <c r="O42" i="23"/>
  <c r="P41" i="23"/>
  <c r="O41" i="23"/>
  <c r="P40" i="23"/>
  <c r="O40" i="23"/>
  <c r="P39" i="23"/>
  <c r="O39" i="23"/>
  <c r="P22" i="23"/>
  <c r="O22" i="23"/>
  <c r="P20" i="23"/>
  <c r="O20" i="23"/>
  <c r="P19" i="23"/>
  <c r="O19" i="23"/>
  <c r="P18" i="23"/>
  <c r="O18" i="23"/>
  <c r="P16" i="23"/>
  <c r="O16" i="23"/>
  <c r="P15" i="23"/>
  <c r="O15" i="23"/>
  <c r="P14" i="23"/>
  <c r="O14" i="23"/>
  <c r="P13" i="23"/>
  <c r="O13" i="23"/>
  <c r="P12" i="23"/>
  <c r="O12" i="23"/>
  <c r="P11" i="23"/>
  <c r="O11" i="23"/>
  <c r="P10" i="23"/>
  <c r="O10" i="23"/>
  <c r="P9" i="23"/>
  <c r="O9" i="23"/>
  <c r="P7" i="23"/>
  <c r="O7" i="23"/>
  <c r="P6" i="23"/>
  <c r="O6" i="23"/>
  <c r="P5" i="23"/>
  <c r="O5" i="23"/>
  <c r="P4" i="23"/>
  <c r="O4" i="23"/>
  <c r="P3" i="23"/>
  <c r="O3" i="23"/>
  <c r="P2" i="23"/>
  <c r="O2" i="23"/>
  <c r="P43" i="23"/>
  <c r="P90" i="23" s="1"/>
  <c r="P153" i="23" s="1"/>
  <c r="F143" i="22"/>
  <c r="E143" i="22"/>
  <c r="N142" i="22" s="1"/>
  <c r="D143" i="22"/>
  <c r="M142" i="22" s="1"/>
  <c r="C143" i="22"/>
  <c r="L142" i="22" s="1"/>
  <c r="F142" i="22"/>
  <c r="E142" i="22"/>
  <c r="N141" i="22" s="1"/>
  <c r="D142" i="22"/>
  <c r="M141" i="22" s="1"/>
  <c r="C142" i="22"/>
  <c r="L141" i="22" s="1"/>
  <c r="F141" i="22"/>
  <c r="E141" i="22"/>
  <c r="N140" i="22" s="1"/>
  <c r="D141" i="22"/>
  <c r="M140" i="22" s="1"/>
  <c r="C141" i="22"/>
  <c r="L140" i="22" s="1"/>
  <c r="F140" i="22"/>
  <c r="E140" i="22"/>
  <c r="D140" i="22"/>
  <c r="C140" i="22"/>
  <c r="F139" i="22"/>
  <c r="E139" i="22"/>
  <c r="D139" i="22"/>
  <c r="C139" i="22"/>
  <c r="F136" i="22"/>
  <c r="E136" i="22"/>
  <c r="D136" i="22"/>
  <c r="C136" i="22"/>
  <c r="F135" i="22"/>
  <c r="E135" i="22"/>
  <c r="D135" i="22"/>
  <c r="C135" i="22"/>
  <c r="F134" i="22"/>
  <c r="E134" i="22"/>
  <c r="D134" i="22"/>
  <c r="C134" i="22"/>
  <c r="F133" i="22"/>
  <c r="E133" i="22"/>
  <c r="D133" i="22"/>
  <c r="C133" i="22"/>
  <c r="F131" i="22"/>
  <c r="E131" i="22"/>
  <c r="D131" i="22"/>
  <c r="C131" i="22"/>
  <c r="F127" i="22"/>
  <c r="E127" i="22"/>
  <c r="D127" i="22"/>
  <c r="C127" i="22"/>
  <c r="M42" i="22"/>
  <c r="L42" i="22"/>
  <c r="K42" i="22"/>
  <c r="J42" i="22"/>
  <c r="I42" i="22"/>
  <c r="H42" i="22"/>
  <c r="G42" i="22"/>
  <c r="F42" i="22"/>
  <c r="E42" i="22"/>
  <c r="D42" i="22"/>
  <c r="M41" i="22"/>
  <c r="L41" i="22"/>
  <c r="K41" i="22"/>
  <c r="J41" i="22"/>
  <c r="I41" i="22"/>
  <c r="H41" i="22"/>
  <c r="G41" i="22"/>
  <c r="F41" i="22"/>
  <c r="E41" i="22"/>
  <c r="D41" i="22"/>
  <c r="M40" i="22"/>
  <c r="L40" i="22"/>
  <c r="K40" i="22"/>
  <c r="J40" i="22"/>
  <c r="I40" i="22"/>
  <c r="H40" i="22"/>
  <c r="G40" i="22"/>
  <c r="F40" i="22"/>
  <c r="E40" i="22"/>
  <c r="D40" i="22"/>
  <c r="M39" i="22"/>
  <c r="L39" i="22"/>
  <c r="K39" i="22"/>
  <c r="J39" i="22"/>
  <c r="I39" i="22"/>
  <c r="H39" i="22"/>
  <c r="G39" i="22"/>
  <c r="F39" i="22"/>
  <c r="E39" i="22"/>
  <c r="D39" i="22"/>
  <c r="M38" i="22"/>
  <c r="L38" i="22"/>
  <c r="K38" i="22"/>
  <c r="J38" i="22"/>
  <c r="P38" i="22" s="1"/>
  <c r="I38" i="22"/>
  <c r="H38" i="22"/>
  <c r="G38" i="22"/>
  <c r="F38" i="22"/>
  <c r="E38" i="22"/>
  <c r="D38" i="22"/>
  <c r="O38" i="22" s="1"/>
  <c r="M37" i="22"/>
  <c r="L37" i="22"/>
  <c r="K37" i="22"/>
  <c r="J37" i="22"/>
  <c r="P37" i="22" s="1"/>
  <c r="I37" i="22"/>
  <c r="H37" i="22"/>
  <c r="G37" i="22"/>
  <c r="F37" i="22"/>
  <c r="E37" i="22"/>
  <c r="D37" i="22"/>
  <c r="O37" i="22" s="1"/>
  <c r="M36" i="22"/>
  <c r="L36" i="22"/>
  <c r="K36" i="22"/>
  <c r="J36" i="22"/>
  <c r="P36" i="22" s="1"/>
  <c r="I36" i="22"/>
  <c r="H36" i="22"/>
  <c r="G36" i="22"/>
  <c r="F36" i="22"/>
  <c r="E36" i="22"/>
  <c r="D36" i="22"/>
  <c r="O36" i="22" s="1"/>
  <c r="M35" i="22"/>
  <c r="L35" i="22"/>
  <c r="K35" i="22"/>
  <c r="J35" i="22"/>
  <c r="P35" i="22" s="1"/>
  <c r="I35" i="22"/>
  <c r="H35" i="22"/>
  <c r="G35" i="22"/>
  <c r="F35" i="22"/>
  <c r="E35" i="22"/>
  <c r="D35" i="22"/>
  <c r="O35" i="22" s="1"/>
  <c r="M34" i="22"/>
  <c r="L34" i="22"/>
  <c r="K34" i="22"/>
  <c r="J34" i="22"/>
  <c r="P34" i="22" s="1"/>
  <c r="I34" i="22"/>
  <c r="H34" i="22"/>
  <c r="G34" i="22"/>
  <c r="F34" i="22"/>
  <c r="E34" i="22"/>
  <c r="D34" i="22"/>
  <c r="O34" i="22" s="1"/>
  <c r="M33" i="22"/>
  <c r="L33" i="22"/>
  <c r="K33" i="22"/>
  <c r="J33" i="22"/>
  <c r="P33" i="22" s="1"/>
  <c r="I33" i="22"/>
  <c r="H33" i="22"/>
  <c r="G33" i="22"/>
  <c r="F33" i="22"/>
  <c r="E33" i="22"/>
  <c r="D33" i="22"/>
  <c r="O33" i="22" s="1"/>
  <c r="M32" i="22"/>
  <c r="L32" i="22"/>
  <c r="K32" i="22"/>
  <c r="J32" i="22"/>
  <c r="P32" i="22" s="1"/>
  <c r="I32" i="22"/>
  <c r="H32" i="22"/>
  <c r="G32" i="22"/>
  <c r="F32" i="22"/>
  <c r="E32" i="22"/>
  <c r="D32" i="22"/>
  <c r="O32" i="22" s="1"/>
  <c r="M31" i="22"/>
  <c r="L31" i="22"/>
  <c r="K31" i="22"/>
  <c r="J31" i="22"/>
  <c r="P31" i="22" s="1"/>
  <c r="I31" i="22"/>
  <c r="H31" i="22"/>
  <c r="G31" i="22"/>
  <c r="F31" i="22"/>
  <c r="E31" i="22"/>
  <c r="D31" i="22"/>
  <c r="O31" i="22" s="1"/>
  <c r="M30" i="22"/>
  <c r="L30" i="22"/>
  <c r="K30" i="22"/>
  <c r="J30" i="22"/>
  <c r="P30" i="22" s="1"/>
  <c r="I30" i="22"/>
  <c r="H30" i="22"/>
  <c r="G30" i="22"/>
  <c r="F30" i="22"/>
  <c r="E30" i="22"/>
  <c r="D30" i="22"/>
  <c r="O30" i="22" s="1"/>
  <c r="M29" i="22"/>
  <c r="L29" i="22"/>
  <c r="K29" i="22"/>
  <c r="J29" i="22"/>
  <c r="P29" i="22" s="1"/>
  <c r="I29" i="22"/>
  <c r="H29" i="22"/>
  <c r="G29" i="22"/>
  <c r="F29" i="22"/>
  <c r="E29" i="22"/>
  <c r="D29" i="22"/>
  <c r="O29" i="22" s="1"/>
  <c r="M28" i="22"/>
  <c r="L28" i="22"/>
  <c r="K28" i="22"/>
  <c r="J28" i="22"/>
  <c r="P28" i="22" s="1"/>
  <c r="I28" i="22"/>
  <c r="H28" i="22"/>
  <c r="G28" i="22"/>
  <c r="F28" i="22"/>
  <c r="E28" i="22"/>
  <c r="D28" i="22"/>
  <c r="O28" i="22" s="1"/>
  <c r="M27" i="22"/>
  <c r="L27" i="22"/>
  <c r="K27" i="22"/>
  <c r="J27" i="22"/>
  <c r="P27" i="22" s="1"/>
  <c r="I27" i="22"/>
  <c r="H27" i="22"/>
  <c r="G27" i="22"/>
  <c r="F27" i="22"/>
  <c r="E27" i="22"/>
  <c r="D27" i="22"/>
  <c r="O27" i="22" s="1"/>
  <c r="M26" i="22"/>
  <c r="L26" i="22"/>
  <c r="K26" i="22"/>
  <c r="J26" i="22"/>
  <c r="P26" i="22" s="1"/>
  <c r="I26" i="22"/>
  <c r="H26" i="22"/>
  <c r="G26" i="22"/>
  <c r="F26" i="22"/>
  <c r="E26" i="22"/>
  <c r="D26" i="22"/>
  <c r="O26" i="22" s="1"/>
  <c r="M25" i="22"/>
  <c r="L25" i="22"/>
  <c r="K25" i="22"/>
  <c r="J25" i="22"/>
  <c r="P25" i="22" s="1"/>
  <c r="I25" i="22"/>
  <c r="H25" i="22"/>
  <c r="G25" i="22"/>
  <c r="F25" i="22"/>
  <c r="E25" i="22"/>
  <c r="D25" i="22"/>
  <c r="O25" i="22" s="1"/>
  <c r="M24" i="22"/>
  <c r="L24" i="22"/>
  <c r="K24" i="22"/>
  <c r="J24" i="22"/>
  <c r="P24" i="22" s="1"/>
  <c r="I24" i="22"/>
  <c r="H24" i="22"/>
  <c r="G24" i="22"/>
  <c r="F24" i="22"/>
  <c r="E24" i="22"/>
  <c r="D24" i="22"/>
  <c r="O24" i="22" s="1"/>
  <c r="M23" i="22"/>
  <c r="L23" i="22"/>
  <c r="K23" i="22"/>
  <c r="J23" i="22"/>
  <c r="P23" i="22" s="1"/>
  <c r="I23" i="22"/>
  <c r="H23" i="22"/>
  <c r="G23" i="22"/>
  <c r="F23" i="22"/>
  <c r="E23" i="22"/>
  <c r="D23" i="22"/>
  <c r="O23" i="22" s="1"/>
  <c r="M21" i="22"/>
  <c r="L21" i="22"/>
  <c r="K21" i="22"/>
  <c r="J21" i="22"/>
  <c r="P21" i="22" s="1"/>
  <c r="I21" i="22"/>
  <c r="H21" i="22"/>
  <c r="G21" i="22"/>
  <c r="F21" i="22"/>
  <c r="E21" i="22"/>
  <c r="D21" i="22"/>
  <c r="O21" i="22" s="1"/>
  <c r="M17" i="22"/>
  <c r="L17" i="22"/>
  <c r="K17" i="22"/>
  <c r="J17" i="22"/>
  <c r="P17" i="22" s="1"/>
  <c r="I17" i="22"/>
  <c r="H17" i="22"/>
  <c r="G17" i="22"/>
  <c r="F17" i="22"/>
  <c r="E17" i="22"/>
  <c r="D17" i="22"/>
  <c r="O17" i="22" s="1"/>
  <c r="M8" i="22"/>
  <c r="L8" i="22"/>
  <c r="K8" i="22"/>
  <c r="J8" i="22"/>
  <c r="P8" i="22" s="1"/>
  <c r="I8" i="22"/>
  <c r="H8" i="22"/>
  <c r="G8" i="22"/>
  <c r="F8" i="22"/>
  <c r="E8" i="22"/>
  <c r="D8" i="22"/>
  <c r="O8" i="22" s="1"/>
  <c r="N139" i="22"/>
  <c r="M139" i="22"/>
  <c r="L139" i="22"/>
  <c r="B115" i="22"/>
  <c r="S90" i="22" s="1"/>
  <c r="F115" i="22" s="1"/>
  <c r="B153" i="22" s="1"/>
  <c r="F77" i="22"/>
  <c r="A77" i="22"/>
  <c r="K63" i="22"/>
  <c r="F63" i="22"/>
  <c r="B63" i="22"/>
  <c r="A51" i="22"/>
  <c r="A50" i="22"/>
  <c r="K49" i="22"/>
  <c r="A49" i="22"/>
  <c r="P42" i="22"/>
  <c r="O42" i="22"/>
  <c r="P41" i="22"/>
  <c r="O41" i="22"/>
  <c r="P40" i="22"/>
  <c r="O40" i="22"/>
  <c r="P39" i="22"/>
  <c r="O39" i="22"/>
  <c r="P22" i="22"/>
  <c r="O22" i="22"/>
  <c r="P20" i="22"/>
  <c r="O20" i="22"/>
  <c r="P19" i="22"/>
  <c r="O19" i="22"/>
  <c r="P18" i="22"/>
  <c r="O18" i="22"/>
  <c r="P16" i="22"/>
  <c r="O16" i="22"/>
  <c r="P15" i="22"/>
  <c r="O15" i="22"/>
  <c r="P14" i="22"/>
  <c r="O14" i="22"/>
  <c r="P13" i="22"/>
  <c r="O13" i="22"/>
  <c r="P12" i="22"/>
  <c r="O12" i="22"/>
  <c r="P11" i="22"/>
  <c r="O11" i="22"/>
  <c r="P10" i="22"/>
  <c r="O10" i="22"/>
  <c r="P9" i="22"/>
  <c r="O9" i="22"/>
  <c r="P7" i="22"/>
  <c r="O7" i="22"/>
  <c r="P6" i="22"/>
  <c r="O6" i="22"/>
  <c r="P5" i="22"/>
  <c r="O5" i="22"/>
  <c r="P4" i="22"/>
  <c r="O4" i="22"/>
  <c r="P3" i="22"/>
  <c r="O3" i="22"/>
  <c r="P2" i="22"/>
  <c r="O2" i="22"/>
  <c r="P43" i="22"/>
  <c r="P90" i="22" s="1"/>
  <c r="P153" i="22" s="1"/>
  <c r="F143" i="21"/>
  <c r="E143" i="21"/>
  <c r="N142" i="21" s="1"/>
  <c r="D143" i="21"/>
  <c r="M142" i="21" s="1"/>
  <c r="C143" i="21"/>
  <c r="L142" i="21" s="1"/>
  <c r="F142" i="21"/>
  <c r="E142" i="21"/>
  <c r="N141" i="21" s="1"/>
  <c r="D142" i="21"/>
  <c r="M141" i="21" s="1"/>
  <c r="C142" i="21"/>
  <c r="L141" i="21" s="1"/>
  <c r="F141" i="21"/>
  <c r="E141" i="21"/>
  <c r="N140" i="21" s="1"/>
  <c r="D141" i="21"/>
  <c r="M140" i="21" s="1"/>
  <c r="C141" i="21"/>
  <c r="L140" i="21" s="1"/>
  <c r="F140" i="21"/>
  <c r="E140" i="21"/>
  <c r="D140" i="21"/>
  <c r="C140" i="21"/>
  <c r="F139" i="21"/>
  <c r="E139" i="21"/>
  <c r="D139" i="21"/>
  <c r="C139" i="21"/>
  <c r="F136" i="21"/>
  <c r="E136" i="21"/>
  <c r="D136" i="21"/>
  <c r="C136" i="21"/>
  <c r="F135" i="21"/>
  <c r="E135" i="21"/>
  <c r="D135" i="21"/>
  <c r="C135" i="21"/>
  <c r="F134" i="21"/>
  <c r="E134" i="21"/>
  <c r="D134" i="21"/>
  <c r="C134" i="21"/>
  <c r="F133" i="21"/>
  <c r="E133" i="21"/>
  <c r="D133" i="21"/>
  <c r="C133" i="21"/>
  <c r="F131" i="21"/>
  <c r="E131" i="21"/>
  <c r="D131" i="21"/>
  <c r="C131" i="21"/>
  <c r="F127" i="21"/>
  <c r="E127" i="21"/>
  <c r="D127" i="21"/>
  <c r="C127" i="21"/>
  <c r="M42" i="21"/>
  <c r="L42" i="21"/>
  <c r="K42" i="21"/>
  <c r="J42" i="21"/>
  <c r="I42" i="21"/>
  <c r="H42" i="21"/>
  <c r="G42" i="21"/>
  <c r="F42" i="21"/>
  <c r="E42" i="21"/>
  <c r="D42" i="21"/>
  <c r="M41" i="21"/>
  <c r="L41" i="21"/>
  <c r="K41" i="21"/>
  <c r="J41" i="21"/>
  <c r="I41" i="21"/>
  <c r="H41" i="21"/>
  <c r="G41" i="21"/>
  <c r="F41" i="21"/>
  <c r="E41" i="21"/>
  <c r="D41" i="21"/>
  <c r="M40" i="21"/>
  <c r="L40" i="21"/>
  <c r="K40" i="21"/>
  <c r="J40" i="21"/>
  <c r="I40" i="21"/>
  <c r="H40" i="21"/>
  <c r="G40" i="21"/>
  <c r="F40" i="21"/>
  <c r="E40" i="21"/>
  <c r="D40" i="21"/>
  <c r="M39" i="21"/>
  <c r="L39" i="21"/>
  <c r="K39" i="21"/>
  <c r="J39" i="21"/>
  <c r="I39" i="21"/>
  <c r="H39" i="21"/>
  <c r="G39" i="21"/>
  <c r="F39" i="21"/>
  <c r="E39" i="21"/>
  <c r="D39" i="21"/>
  <c r="M38" i="21"/>
  <c r="L38" i="21"/>
  <c r="K38" i="21"/>
  <c r="J38" i="21"/>
  <c r="P38" i="21" s="1"/>
  <c r="I38" i="21"/>
  <c r="H38" i="21"/>
  <c r="G38" i="21"/>
  <c r="F38" i="21"/>
  <c r="E38" i="21"/>
  <c r="D38" i="21"/>
  <c r="O38" i="21" s="1"/>
  <c r="M37" i="21"/>
  <c r="L37" i="21"/>
  <c r="K37" i="21"/>
  <c r="J37" i="21"/>
  <c r="P37" i="21" s="1"/>
  <c r="I37" i="21"/>
  <c r="H37" i="21"/>
  <c r="G37" i="21"/>
  <c r="F37" i="21"/>
  <c r="E37" i="21"/>
  <c r="D37" i="21"/>
  <c r="O37" i="21" s="1"/>
  <c r="M36" i="21"/>
  <c r="L36" i="21"/>
  <c r="K36" i="21"/>
  <c r="J36" i="21"/>
  <c r="P36" i="21" s="1"/>
  <c r="I36" i="21"/>
  <c r="H36" i="21"/>
  <c r="G36" i="21"/>
  <c r="F36" i="21"/>
  <c r="E36" i="21"/>
  <c r="D36" i="21"/>
  <c r="O36" i="21" s="1"/>
  <c r="M35" i="21"/>
  <c r="L35" i="21"/>
  <c r="K35" i="21"/>
  <c r="J35" i="21"/>
  <c r="P35" i="21" s="1"/>
  <c r="I35" i="21"/>
  <c r="H35" i="21"/>
  <c r="G35" i="21"/>
  <c r="F35" i="21"/>
  <c r="E35" i="21"/>
  <c r="D35" i="21"/>
  <c r="O35" i="21" s="1"/>
  <c r="M34" i="21"/>
  <c r="L34" i="21"/>
  <c r="K34" i="21"/>
  <c r="J34" i="21"/>
  <c r="P34" i="21" s="1"/>
  <c r="I34" i="21"/>
  <c r="H34" i="21"/>
  <c r="G34" i="21"/>
  <c r="F34" i="21"/>
  <c r="E34" i="21"/>
  <c r="D34" i="21"/>
  <c r="O34" i="21" s="1"/>
  <c r="M33" i="21"/>
  <c r="L33" i="21"/>
  <c r="K33" i="21"/>
  <c r="J33" i="21"/>
  <c r="P33" i="21" s="1"/>
  <c r="I33" i="21"/>
  <c r="H33" i="21"/>
  <c r="G33" i="21"/>
  <c r="F33" i="21"/>
  <c r="E33" i="21"/>
  <c r="D33" i="21"/>
  <c r="O33" i="21" s="1"/>
  <c r="M32" i="21"/>
  <c r="L32" i="21"/>
  <c r="K32" i="21"/>
  <c r="J32" i="21"/>
  <c r="P32" i="21" s="1"/>
  <c r="I32" i="21"/>
  <c r="H32" i="21"/>
  <c r="G32" i="21"/>
  <c r="F32" i="21"/>
  <c r="E32" i="21"/>
  <c r="D32" i="21"/>
  <c r="O32" i="21" s="1"/>
  <c r="M31" i="21"/>
  <c r="L31" i="21"/>
  <c r="K31" i="21"/>
  <c r="J31" i="21"/>
  <c r="P31" i="21" s="1"/>
  <c r="I31" i="21"/>
  <c r="H31" i="21"/>
  <c r="G31" i="21"/>
  <c r="F31" i="21"/>
  <c r="E31" i="21"/>
  <c r="D31" i="21"/>
  <c r="O31" i="21" s="1"/>
  <c r="M30" i="21"/>
  <c r="L30" i="21"/>
  <c r="K30" i="21"/>
  <c r="J30" i="21"/>
  <c r="P30" i="21" s="1"/>
  <c r="I30" i="21"/>
  <c r="H30" i="21"/>
  <c r="G30" i="21"/>
  <c r="F30" i="21"/>
  <c r="E30" i="21"/>
  <c r="D30" i="21"/>
  <c r="O30" i="21" s="1"/>
  <c r="M29" i="21"/>
  <c r="L29" i="21"/>
  <c r="K29" i="21"/>
  <c r="J29" i="21"/>
  <c r="P29" i="21" s="1"/>
  <c r="I29" i="21"/>
  <c r="H29" i="21"/>
  <c r="G29" i="21"/>
  <c r="F29" i="21"/>
  <c r="E29" i="21"/>
  <c r="D29" i="21"/>
  <c r="O29" i="21" s="1"/>
  <c r="M28" i="21"/>
  <c r="L28" i="21"/>
  <c r="K28" i="21"/>
  <c r="J28" i="21"/>
  <c r="P28" i="21" s="1"/>
  <c r="I28" i="21"/>
  <c r="H28" i="21"/>
  <c r="G28" i="21"/>
  <c r="F28" i="21"/>
  <c r="E28" i="21"/>
  <c r="D28" i="21"/>
  <c r="O28" i="21" s="1"/>
  <c r="M27" i="21"/>
  <c r="L27" i="21"/>
  <c r="K27" i="21"/>
  <c r="J27" i="21"/>
  <c r="P27" i="21" s="1"/>
  <c r="I27" i="21"/>
  <c r="H27" i="21"/>
  <c r="G27" i="21"/>
  <c r="F27" i="21"/>
  <c r="E27" i="21"/>
  <c r="D27" i="21"/>
  <c r="O27" i="21" s="1"/>
  <c r="M26" i="21"/>
  <c r="L26" i="21"/>
  <c r="K26" i="21"/>
  <c r="J26" i="21"/>
  <c r="P26" i="21" s="1"/>
  <c r="I26" i="21"/>
  <c r="H26" i="21"/>
  <c r="G26" i="21"/>
  <c r="F26" i="21"/>
  <c r="E26" i="21"/>
  <c r="D26" i="21"/>
  <c r="O26" i="21" s="1"/>
  <c r="M25" i="21"/>
  <c r="L25" i="21"/>
  <c r="K25" i="21"/>
  <c r="J25" i="21"/>
  <c r="P25" i="21" s="1"/>
  <c r="I25" i="21"/>
  <c r="H25" i="21"/>
  <c r="G25" i="21"/>
  <c r="F25" i="21"/>
  <c r="E25" i="21"/>
  <c r="D25" i="21"/>
  <c r="O25" i="21" s="1"/>
  <c r="M24" i="21"/>
  <c r="L24" i="21"/>
  <c r="K24" i="21"/>
  <c r="J24" i="21"/>
  <c r="P24" i="21" s="1"/>
  <c r="I24" i="21"/>
  <c r="H24" i="21"/>
  <c r="G24" i="21"/>
  <c r="F24" i="21"/>
  <c r="E24" i="21"/>
  <c r="D24" i="21"/>
  <c r="O24" i="21" s="1"/>
  <c r="M23" i="21"/>
  <c r="L23" i="21"/>
  <c r="K23" i="21"/>
  <c r="J23" i="21"/>
  <c r="P23" i="21" s="1"/>
  <c r="I23" i="21"/>
  <c r="H23" i="21"/>
  <c r="G23" i="21"/>
  <c r="F23" i="21"/>
  <c r="E23" i="21"/>
  <c r="D23" i="21"/>
  <c r="O23" i="21" s="1"/>
  <c r="M21" i="21"/>
  <c r="L21" i="21"/>
  <c r="K21" i="21"/>
  <c r="J21" i="21"/>
  <c r="P21" i="21" s="1"/>
  <c r="I21" i="21"/>
  <c r="H21" i="21"/>
  <c r="G21" i="21"/>
  <c r="F21" i="21"/>
  <c r="E21" i="21"/>
  <c r="D21" i="21"/>
  <c r="O21" i="21" s="1"/>
  <c r="M17" i="21"/>
  <c r="L17" i="21"/>
  <c r="K17" i="21"/>
  <c r="J17" i="21"/>
  <c r="P17" i="21" s="1"/>
  <c r="I17" i="21"/>
  <c r="H17" i="21"/>
  <c r="G17" i="21"/>
  <c r="F17" i="21"/>
  <c r="E17" i="21"/>
  <c r="D17" i="21"/>
  <c r="O17" i="21" s="1"/>
  <c r="M8" i="21"/>
  <c r="L8" i="21"/>
  <c r="K8" i="21"/>
  <c r="J8" i="21"/>
  <c r="P8" i="21" s="1"/>
  <c r="I8" i="21"/>
  <c r="H8" i="21"/>
  <c r="G8" i="21"/>
  <c r="F8" i="21"/>
  <c r="E8" i="21"/>
  <c r="D8" i="21"/>
  <c r="O8" i="21" s="1"/>
  <c r="N139" i="21"/>
  <c r="M139" i="21"/>
  <c r="L139" i="21"/>
  <c r="B115" i="21"/>
  <c r="S90" i="21" s="1"/>
  <c r="F115" i="21" s="1"/>
  <c r="B153" i="21" s="1"/>
  <c r="F77" i="21"/>
  <c r="A77" i="21"/>
  <c r="K63" i="21"/>
  <c r="F63" i="21"/>
  <c r="B63" i="21"/>
  <c r="A51" i="21"/>
  <c r="A50" i="21"/>
  <c r="K49" i="21"/>
  <c r="A49" i="21"/>
  <c r="P42" i="21"/>
  <c r="O42" i="21"/>
  <c r="P41" i="21"/>
  <c r="O41" i="21"/>
  <c r="P40" i="21"/>
  <c r="O40" i="21"/>
  <c r="P39" i="21"/>
  <c r="O39" i="21"/>
  <c r="P22" i="21"/>
  <c r="O22" i="21"/>
  <c r="P20" i="21"/>
  <c r="O20" i="21"/>
  <c r="P19" i="21"/>
  <c r="O19" i="21"/>
  <c r="P18" i="21"/>
  <c r="O18" i="21"/>
  <c r="P16" i="21"/>
  <c r="O16" i="21"/>
  <c r="P15" i="21"/>
  <c r="O15" i="21"/>
  <c r="P14" i="21"/>
  <c r="O14" i="21"/>
  <c r="P13" i="21"/>
  <c r="O13" i="21"/>
  <c r="P12" i="21"/>
  <c r="O12" i="21"/>
  <c r="P11" i="21"/>
  <c r="O11" i="21"/>
  <c r="P10" i="21"/>
  <c r="O10" i="21"/>
  <c r="P9" i="21"/>
  <c r="O9" i="21"/>
  <c r="P7" i="21"/>
  <c r="O7" i="21"/>
  <c r="P6" i="21"/>
  <c r="O6" i="21"/>
  <c r="P5" i="21"/>
  <c r="O5" i="21"/>
  <c r="P4" i="21"/>
  <c r="O4" i="21"/>
  <c r="P3" i="21"/>
  <c r="O3" i="21"/>
  <c r="P2" i="21"/>
  <c r="O2" i="21"/>
  <c r="P43" i="21"/>
  <c r="P90" i="21" s="1"/>
  <c r="P153" i="21" s="1"/>
  <c r="F143" i="20"/>
  <c r="E143" i="20"/>
  <c r="N142" i="20" s="1"/>
  <c r="D143" i="20"/>
  <c r="M142" i="20" s="1"/>
  <c r="C143" i="20"/>
  <c r="L142" i="20" s="1"/>
  <c r="F142" i="20"/>
  <c r="E142" i="20"/>
  <c r="N141" i="20" s="1"/>
  <c r="D142" i="20"/>
  <c r="M141" i="20" s="1"/>
  <c r="C142" i="20"/>
  <c r="L141" i="20" s="1"/>
  <c r="F141" i="20"/>
  <c r="E141" i="20"/>
  <c r="N140" i="20" s="1"/>
  <c r="D141" i="20"/>
  <c r="M140" i="20" s="1"/>
  <c r="C141" i="20"/>
  <c r="L140" i="20" s="1"/>
  <c r="F140" i="20"/>
  <c r="E140" i="20"/>
  <c r="D140" i="20"/>
  <c r="C140" i="20"/>
  <c r="F139" i="20"/>
  <c r="E139" i="20"/>
  <c r="D139" i="20"/>
  <c r="C139" i="20"/>
  <c r="F136" i="20"/>
  <c r="E136" i="20"/>
  <c r="D136" i="20"/>
  <c r="C136" i="20"/>
  <c r="F135" i="20"/>
  <c r="E135" i="20"/>
  <c r="D135" i="20"/>
  <c r="C135" i="20"/>
  <c r="F134" i="20"/>
  <c r="E134" i="20"/>
  <c r="D134" i="20"/>
  <c r="C134" i="20"/>
  <c r="F133" i="20"/>
  <c r="E133" i="20"/>
  <c r="D133" i="20"/>
  <c r="C133" i="20"/>
  <c r="F131" i="20"/>
  <c r="E131" i="20"/>
  <c r="D131" i="20"/>
  <c r="C131" i="20"/>
  <c r="F127" i="20"/>
  <c r="E127" i="20"/>
  <c r="D127" i="20"/>
  <c r="C127" i="20"/>
  <c r="M42" i="20"/>
  <c r="L42" i="20"/>
  <c r="K42" i="20"/>
  <c r="J42" i="20"/>
  <c r="I42" i="20"/>
  <c r="H42" i="20"/>
  <c r="G42" i="20"/>
  <c r="F42" i="20"/>
  <c r="E42" i="20"/>
  <c r="D42" i="20"/>
  <c r="M41" i="20"/>
  <c r="L41" i="20"/>
  <c r="K41" i="20"/>
  <c r="J41" i="20"/>
  <c r="I41" i="20"/>
  <c r="H41" i="20"/>
  <c r="G41" i="20"/>
  <c r="F41" i="20"/>
  <c r="E41" i="20"/>
  <c r="D41" i="20"/>
  <c r="M40" i="20"/>
  <c r="L40" i="20"/>
  <c r="K40" i="20"/>
  <c r="J40" i="20"/>
  <c r="I40" i="20"/>
  <c r="H40" i="20"/>
  <c r="G40" i="20"/>
  <c r="F40" i="20"/>
  <c r="E40" i="20"/>
  <c r="D40" i="20"/>
  <c r="M39" i="20"/>
  <c r="L39" i="20"/>
  <c r="K39" i="20"/>
  <c r="J39" i="20"/>
  <c r="I39" i="20"/>
  <c r="H39" i="20"/>
  <c r="G39" i="20"/>
  <c r="F39" i="20"/>
  <c r="E39" i="20"/>
  <c r="D39" i="20"/>
  <c r="M38" i="20"/>
  <c r="L38" i="20"/>
  <c r="K38" i="20"/>
  <c r="J38" i="20"/>
  <c r="P38" i="20" s="1"/>
  <c r="I38" i="20"/>
  <c r="H38" i="20"/>
  <c r="G38" i="20"/>
  <c r="F38" i="20"/>
  <c r="E38" i="20"/>
  <c r="D38" i="20"/>
  <c r="O38" i="20" s="1"/>
  <c r="M37" i="20"/>
  <c r="L37" i="20"/>
  <c r="K37" i="20"/>
  <c r="J37" i="20"/>
  <c r="P37" i="20" s="1"/>
  <c r="I37" i="20"/>
  <c r="H37" i="20"/>
  <c r="G37" i="20"/>
  <c r="F37" i="20"/>
  <c r="E37" i="20"/>
  <c r="D37" i="20"/>
  <c r="O37" i="20" s="1"/>
  <c r="M36" i="20"/>
  <c r="L36" i="20"/>
  <c r="K36" i="20"/>
  <c r="J36" i="20"/>
  <c r="P36" i="20" s="1"/>
  <c r="I36" i="20"/>
  <c r="H36" i="20"/>
  <c r="G36" i="20"/>
  <c r="F36" i="20"/>
  <c r="E36" i="20"/>
  <c r="D36" i="20"/>
  <c r="O36" i="20" s="1"/>
  <c r="M35" i="20"/>
  <c r="L35" i="20"/>
  <c r="K35" i="20"/>
  <c r="J35" i="20"/>
  <c r="P35" i="20" s="1"/>
  <c r="I35" i="20"/>
  <c r="H35" i="20"/>
  <c r="G35" i="20"/>
  <c r="F35" i="20"/>
  <c r="E35" i="20"/>
  <c r="D35" i="20"/>
  <c r="O35" i="20" s="1"/>
  <c r="M34" i="20"/>
  <c r="L34" i="20"/>
  <c r="K34" i="20"/>
  <c r="J34" i="20"/>
  <c r="P34" i="20" s="1"/>
  <c r="I34" i="20"/>
  <c r="H34" i="20"/>
  <c r="G34" i="20"/>
  <c r="F34" i="20"/>
  <c r="E34" i="20"/>
  <c r="D34" i="20"/>
  <c r="O34" i="20" s="1"/>
  <c r="M33" i="20"/>
  <c r="L33" i="20"/>
  <c r="K33" i="20"/>
  <c r="J33" i="20"/>
  <c r="P33" i="20" s="1"/>
  <c r="I33" i="20"/>
  <c r="H33" i="20"/>
  <c r="G33" i="20"/>
  <c r="F33" i="20"/>
  <c r="E33" i="20"/>
  <c r="D33" i="20"/>
  <c r="O33" i="20" s="1"/>
  <c r="M32" i="20"/>
  <c r="L32" i="20"/>
  <c r="K32" i="20"/>
  <c r="J32" i="20"/>
  <c r="P32" i="20" s="1"/>
  <c r="I32" i="20"/>
  <c r="H32" i="20"/>
  <c r="G32" i="20"/>
  <c r="F32" i="20"/>
  <c r="E32" i="20"/>
  <c r="D32" i="20"/>
  <c r="O32" i="20" s="1"/>
  <c r="M31" i="20"/>
  <c r="L31" i="20"/>
  <c r="K31" i="20"/>
  <c r="J31" i="20"/>
  <c r="P31" i="20" s="1"/>
  <c r="I31" i="20"/>
  <c r="H31" i="20"/>
  <c r="G31" i="20"/>
  <c r="F31" i="20"/>
  <c r="E31" i="20"/>
  <c r="D31" i="20"/>
  <c r="O31" i="20" s="1"/>
  <c r="M30" i="20"/>
  <c r="L30" i="20"/>
  <c r="K30" i="20"/>
  <c r="J30" i="20"/>
  <c r="P30" i="20" s="1"/>
  <c r="I30" i="20"/>
  <c r="H30" i="20"/>
  <c r="G30" i="20"/>
  <c r="F30" i="20"/>
  <c r="E30" i="20"/>
  <c r="D30" i="20"/>
  <c r="O30" i="20" s="1"/>
  <c r="M29" i="20"/>
  <c r="L29" i="20"/>
  <c r="K29" i="20"/>
  <c r="J29" i="20"/>
  <c r="P29" i="20" s="1"/>
  <c r="I29" i="20"/>
  <c r="H29" i="20"/>
  <c r="G29" i="20"/>
  <c r="F29" i="20"/>
  <c r="E29" i="20"/>
  <c r="D29" i="20"/>
  <c r="O29" i="20" s="1"/>
  <c r="M28" i="20"/>
  <c r="L28" i="20"/>
  <c r="K28" i="20"/>
  <c r="J28" i="20"/>
  <c r="P28" i="20" s="1"/>
  <c r="I28" i="20"/>
  <c r="H28" i="20"/>
  <c r="G28" i="20"/>
  <c r="F28" i="20"/>
  <c r="E28" i="20"/>
  <c r="D28" i="20"/>
  <c r="O28" i="20" s="1"/>
  <c r="M27" i="20"/>
  <c r="L27" i="20"/>
  <c r="K27" i="20"/>
  <c r="J27" i="20"/>
  <c r="P27" i="20" s="1"/>
  <c r="I27" i="20"/>
  <c r="H27" i="20"/>
  <c r="G27" i="20"/>
  <c r="F27" i="20"/>
  <c r="E27" i="20"/>
  <c r="D27" i="20"/>
  <c r="M26" i="20"/>
  <c r="L26" i="20"/>
  <c r="K26" i="20"/>
  <c r="J26" i="20"/>
  <c r="P26" i="20" s="1"/>
  <c r="I26" i="20"/>
  <c r="H26" i="20"/>
  <c r="G26" i="20"/>
  <c r="F26" i="20"/>
  <c r="E26" i="20"/>
  <c r="D26" i="20"/>
  <c r="O26" i="20" s="1"/>
  <c r="M25" i="20"/>
  <c r="L25" i="20"/>
  <c r="K25" i="20"/>
  <c r="J25" i="20"/>
  <c r="P25" i="20" s="1"/>
  <c r="I25" i="20"/>
  <c r="H25" i="20"/>
  <c r="G25" i="20"/>
  <c r="F25" i="20"/>
  <c r="E25" i="20"/>
  <c r="D25" i="20"/>
  <c r="O25" i="20" s="1"/>
  <c r="M24" i="20"/>
  <c r="L24" i="20"/>
  <c r="K24" i="20"/>
  <c r="J24" i="20"/>
  <c r="P24" i="20" s="1"/>
  <c r="I24" i="20"/>
  <c r="H24" i="20"/>
  <c r="G24" i="20"/>
  <c r="F24" i="20"/>
  <c r="E24" i="20"/>
  <c r="D24" i="20"/>
  <c r="O24" i="20" s="1"/>
  <c r="M23" i="20"/>
  <c r="L23" i="20"/>
  <c r="K23" i="20"/>
  <c r="J23" i="20"/>
  <c r="P23" i="20" s="1"/>
  <c r="I23" i="20"/>
  <c r="H23" i="20"/>
  <c r="G23" i="20"/>
  <c r="F23" i="20"/>
  <c r="E23" i="20"/>
  <c r="D23" i="20"/>
  <c r="O23" i="20" s="1"/>
  <c r="M21" i="20"/>
  <c r="L21" i="20"/>
  <c r="K21" i="20"/>
  <c r="J21" i="20"/>
  <c r="P21" i="20" s="1"/>
  <c r="I21" i="20"/>
  <c r="H21" i="20"/>
  <c r="G21" i="20"/>
  <c r="F21" i="20"/>
  <c r="E21" i="20"/>
  <c r="D21" i="20"/>
  <c r="O21" i="20" s="1"/>
  <c r="M17" i="20"/>
  <c r="L17" i="20"/>
  <c r="K17" i="20"/>
  <c r="J17" i="20"/>
  <c r="P17" i="20" s="1"/>
  <c r="I17" i="20"/>
  <c r="H17" i="20"/>
  <c r="G17" i="20"/>
  <c r="F17" i="20"/>
  <c r="E17" i="20"/>
  <c r="D17" i="20"/>
  <c r="O17" i="20" s="1"/>
  <c r="M8" i="20"/>
  <c r="L8" i="20"/>
  <c r="K8" i="20"/>
  <c r="J8" i="20"/>
  <c r="P8" i="20" s="1"/>
  <c r="I8" i="20"/>
  <c r="H8" i="20"/>
  <c r="G8" i="20"/>
  <c r="F8" i="20"/>
  <c r="E8" i="20"/>
  <c r="D8" i="20"/>
  <c r="O8" i="20" s="1"/>
  <c r="N139" i="20"/>
  <c r="M139" i="20"/>
  <c r="L139" i="20"/>
  <c r="B115" i="20"/>
  <c r="S90" i="20" s="1"/>
  <c r="F115" i="20" s="1"/>
  <c r="B153" i="20" s="1"/>
  <c r="F77" i="20"/>
  <c r="A77" i="20"/>
  <c r="K63" i="20"/>
  <c r="F63" i="20"/>
  <c r="B63" i="20"/>
  <c r="A51" i="20"/>
  <c r="A50" i="20"/>
  <c r="K49" i="20"/>
  <c r="A49" i="20"/>
  <c r="P42" i="20"/>
  <c r="O42" i="20"/>
  <c r="P41" i="20"/>
  <c r="O41" i="20"/>
  <c r="P40" i="20"/>
  <c r="O40" i="20"/>
  <c r="P39" i="20"/>
  <c r="O39" i="20"/>
  <c r="P22" i="20"/>
  <c r="O22" i="20"/>
  <c r="P20" i="20"/>
  <c r="O20" i="20"/>
  <c r="P19" i="20"/>
  <c r="O19" i="20"/>
  <c r="P18" i="20"/>
  <c r="O18" i="20"/>
  <c r="P16" i="20"/>
  <c r="O16" i="20"/>
  <c r="P15" i="20"/>
  <c r="O15" i="20"/>
  <c r="P14" i="20"/>
  <c r="O14" i="20"/>
  <c r="P13" i="20"/>
  <c r="O13" i="20"/>
  <c r="P12" i="20"/>
  <c r="O12" i="20"/>
  <c r="P11" i="20"/>
  <c r="O11" i="20"/>
  <c r="P10" i="20"/>
  <c r="O10" i="20"/>
  <c r="P9" i="20"/>
  <c r="O9" i="20"/>
  <c r="P7" i="20"/>
  <c r="O7" i="20"/>
  <c r="P6" i="20"/>
  <c r="O6" i="20"/>
  <c r="P5" i="20"/>
  <c r="O5" i="20"/>
  <c r="P4" i="20"/>
  <c r="O4" i="20"/>
  <c r="P3" i="20"/>
  <c r="O3" i="20"/>
  <c r="P2" i="20"/>
  <c r="O2" i="20"/>
  <c r="P43" i="20"/>
  <c r="P90" i="20" s="1"/>
  <c r="P153" i="20" s="1"/>
  <c r="F143" i="19"/>
  <c r="E143" i="19"/>
  <c r="N142" i="19" s="1"/>
  <c r="D143" i="19"/>
  <c r="M142" i="19" s="1"/>
  <c r="C143" i="19"/>
  <c r="L142" i="19" s="1"/>
  <c r="F142" i="19"/>
  <c r="E142" i="19"/>
  <c r="N141" i="19" s="1"/>
  <c r="D142" i="19"/>
  <c r="M141" i="19" s="1"/>
  <c r="C142" i="19"/>
  <c r="L141" i="19" s="1"/>
  <c r="F141" i="19"/>
  <c r="E141" i="19"/>
  <c r="N140" i="19" s="1"/>
  <c r="D141" i="19"/>
  <c r="M140" i="19" s="1"/>
  <c r="C141" i="19"/>
  <c r="L140" i="19" s="1"/>
  <c r="F140" i="19"/>
  <c r="E140" i="19"/>
  <c r="D140" i="19"/>
  <c r="C140" i="19"/>
  <c r="F139" i="19"/>
  <c r="E139" i="19"/>
  <c r="D139" i="19"/>
  <c r="C139" i="19"/>
  <c r="F136" i="19"/>
  <c r="E136" i="19"/>
  <c r="D136" i="19"/>
  <c r="C136" i="19"/>
  <c r="F135" i="19"/>
  <c r="E135" i="19"/>
  <c r="D135" i="19"/>
  <c r="C135" i="19"/>
  <c r="F134" i="19"/>
  <c r="E134" i="19"/>
  <c r="D134" i="19"/>
  <c r="C134" i="19"/>
  <c r="F133" i="19"/>
  <c r="E133" i="19"/>
  <c r="D133" i="19"/>
  <c r="C133" i="19"/>
  <c r="F131" i="19"/>
  <c r="E131" i="19"/>
  <c r="D131" i="19"/>
  <c r="C131" i="19"/>
  <c r="F127" i="19"/>
  <c r="E127" i="19"/>
  <c r="D127" i="19"/>
  <c r="C127" i="19"/>
  <c r="M42" i="19"/>
  <c r="L42" i="19"/>
  <c r="K42" i="19"/>
  <c r="J42" i="19"/>
  <c r="I42" i="19"/>
  <c r="H42" i="19"/>
  <c r="G42" i="19"/>
  <c r="F42" i="19"/>
  <c r="E42" i="19"/>
  <c r="D42" i="19"/>
  <c r="M41" i="19"/>
  <c r="L41" i="19"/>
  <c r="K41" i="19"/>
  <c r="J41" i="19"/>
  <c r="I41" i="19"/>
  <c r="H41" i="19"/>
  <c r="G41" i="19"/>
  <c r="F41" i="19"/>
  <c r="E41" i="19"/>
  <c r="D41" i="19"/>
  <c r="M40" i="19"/>
  <c r="L40" i="19"/>
  <c r="K40" i="19"/>
  <c r="J40" i="19"/>
  <c r="I40" i="19"/>
  <c r="H40" i="19"/>
  <c r="G40" i="19"/>
  <c r="F40" i="19"/>
  <c r="E40" i="19"/>
  <c r="D40" i="19"/>
  <c r="M39" i="19"/>
  <c r="L39" i="19"/>
  <c r="K39" i="19"/>
  <c r="J39" i="19"/>
  <c r="I39" i="19"/>
  <c r="H39" i="19"/>
  <c r="G39" i="19"/>
  <c r="F39" i="19"/>
  <c r="E39" i="19"/>
  <c r="D39" i="19"/>
  <c r="M38" i="19"/>
  <c r="L38" i="19"/>
  <c r="K38" i="19"/>
  <c r="J38" i="19"/>
  <c r="P38" i="19" s="1"/>
  <c r="I38" i="19"/>
  <c r="H38" i="19"/>
  <c r="G38" i="19"/>
  <c r="F38" i="19"/>
  <c r="E38" i="19"/>
  <c r="D38" i="19"/>
  <c r="O38" i="19" s="1"/>
  <c r="M37" i="19"/>
  <c r="L37" i="19"/>
  <c r="K37" i="19"/>
  <c r="J37" i="19"/>
  <c r="P37" i="19" s="1"/>
  <c r="I37" i="19"/>
  <c r="H37" i="19"/>
  <c r="G37" i="19"/>
  <c r="F37" i="19"/>
  <c r="E37" i="19"/>
  <c r="D37" i="19"/>
  <c r="O37" i="19" s="1"/>
  <c r="M36" i="19"/>
  <c r="L36" i="19"/>
  <c r="K36" i="19"/>
  <c r="J36" i="19"/>
  <c r="P36" i="19" s="1"/>
  <c r="I36" i="19"/>
  <c r="H36" i="19"/>
  <c r="G36" i="19"/>
  <c r="F36" i="19"/>
  <c r="E36" i="19"/>
  <c r="D36" i="19"/>
  <c r="O36" i="19" s="1"/>
  <c r="M35" i="19"/>
  <c r="L35" i="19"/>
  <c r="K35" i="19"/>
  <c r="J35" i="19"/>
  <c r="P35" i="19" s="1"/>
  <c r="I35" i="19"/>
  <c r="H35" i="19"/>
  <c r="G35" i="19"/>
  <c r="F35" i="19"/>
  <c r="E35" i="19"/>
  <c r="D35" i="19"/>
  <c r="O35" i="19" s="1"/>
  <c r="M34" i="19"/>
  <c r="L34" i="19"/>
  <c r="K34" i="19"/>
  <c r="J34" i="19"/>
  <c r="P34" i="19" s="1"/>
  <c r="I34" i="19"/>
  <c r="H34" i="19"/>
  <c r="G34" i="19"/>
  <c r="F34" i="19"/>
  <c r="E34" i="19"/>
  <c r="D34" i="19"/>
  <c r="O34" i="19" s="1"/>
  <c r="M33" i="19"/>
  <c r="L33" i="19"/>
  <c r="K33" i="19"/>
  <c r="J33" i="19"/>
  <c r="P33" i="19" s="1"/>
  <c r="I33" i="19"/>
  <c r="H33" i="19"/>
  <c r="G33" i="19"/>
  <c r="F33" i="19"/>
  <c r="E33" i="19"/>
  <c r="D33" i="19"/>
  <c r="O33" i="19" s="1"/>
  <c r="M32" i="19"/>
  <c r="L32" i="19"/>
  <c r="K32" i="19"/>
  <c r="J32" i="19"/>
  <c r="P32" i="19" s="1"/>
  <c r="I32" i="19"/>
  <c r="H32" i="19"/>
  <c r="G32" i="19"/>
  <c r="F32" i="19"/>
  <c r="E32" i="19"/>
  <c r="D32" i="19"/>
  <c r="O32" i="19" s="1"/>
  <c r="M31" i="19"/>
  <c r="L31" i="19"/>
  <c r="K31" i="19"/>
  <c r="J31" i="19"/>
  <c r="P31" i="19" s="1"/>
  <c r="I31" i="19"/>
  <c r="H31" i="19"/>
  <c r="G31" i="19"/>
  <c r="F31" i="19"/>
  <c r="E31" i="19"/>
  <c r="D31" i="19"/>
  <c r="O31" i="19" s="1"/>
  <c r="M30" i="19"/>
  <c r="L30" i="19"/>
  <c r="K30" i="19"/>
  <c r="J30" i="19"/>
  <c r="P30" i="19" s="1"/>
  <c r="I30" i="19"/>
  <c r="H30" i="19"/>
  <c r="G30" i="19"/>
  <c r="F30" i="19"/>
  <c r="E30" i="19"/>
  <c r="D30" i="19"/>
  <c r="O30" i="19" s="1"/>
  <c r="M29" i="19"/>
  <c r="L29" i="19"/>
  <c r="K29" i="19"/>
  <c r="J29" i="19"/>
  <c r="P29" i="19" s="1"/>
  <c r="I29" i="19"/>
  <c r="H29" i="19"/>
  <c r="G29" i="19"/>
  <c r="F29" i="19"/>
  <c r="E29" i="19"/>
  <c r="D29" i="19"/>
  <c r="O29" i="19" s="1"/>
  <c r="M28" i="19"/>
  <c r="L28" i="19"/>
  <c r="K28" i="19"/>
  <c r="J28" i="19"/>
  <c r="P28" i="19" s="1"/>
  <c r="I28" i="19"/>
  <c r="H28" i="19"/>
  <c r="G28" i="19"/>
  <c r="F28" i="19"/>
  <c r="E28" i="19"/>
  <c r="D28" i="19"/>
  <c r="O28" i="19" s="1"/>
  <c r="M27" i="19"/>
  <c r="L27" i="19"/>
  <c r="K27" i="19"/>
  <c r="J27" i="19"/>
  <c r="P27" i="19" s="1"/>
  <c r="I27" i="19"/>
  <c r="H27" i="19"/>
  <c r="G27" i="19"/>
  <c r="F27" i="19"/>
  <c r="E27" i="19"/>
  <c r="D27" i="19"/>
  <c r="M26" i="19"/>
  <c r="L26" i="19"/>
  <c r="K26" i="19"/>
  <c r="J26" i="19"/>
  <c r="P26" i="19" s="1"/>
  <c r="I26" i="19"/>
  <c r="H26" i="19"/>
  <c r="G26" i="19"/>
  <c r="F26" i="19"/>
  <c r="E26" i="19"/>
  <c r="D26" i="19"/>
  <c r="O26" i="19" s="1"/>
  <c r="M25" i="19"/>
  <c r="L25" i="19"/>
  <c r="K25" i="19"/>
  <c r="J25" i="19"/>
  <c r="P25" i="19" s="1"/>
  <c r="I25" i="19"/>
  <c r="H25" i="19"/>
  <c r="G25" i="19"/>
  <c r="F25" i="19"/>
  <c r="E25" i="19"/>
  <c r="D25" i="19"/>
  <c r="O25" i="19" s="1"/>
  <c r="M24" i="19"/>
  <c r="L24" i="19"/>
  <c r="K24" i="19"/>
  <c r="J24" i="19"/>
  <c r="P24" i="19" s="1"/>
  <c r="I24" i="19"/>
  <c r="H24" i="19"/>
  <c r="G24" i="19"/>
  <c r="F24" i="19"/>
  <c r="E24" i="19"/>
  <c r="D24" i="19"/>
  <c r="O24" i="19" s="1"/>
  <c r="M23" i="19"/>
  <c r="L23" i="19"/>
  <c r="K23" i="19"/>
  <c r="J23" i="19"/>
  <c r="P23" i="19" s="1"/>
  <c r="I23" i="19"/>
  <c r="H23" i="19"/>
  <c r="G23" i="19"/>
  <c r="F23" i="19"/>
  <c r="E23" i="19"/>
  <c r="D23" i="19"/>
  <c r="O23" i="19" s="1"/>
  <c r="M21" i="19"/>
  <c r="L21" i="19"/>
  <c r="K21" i="19"/>
  <c r="J21" i="19"/>
  <c r="P21" i="19" s="1"/>
  <c r="I21" i="19"/>
  <c r="H21" i="19"/>
  <c r="G21" i="19"/>
  <c r="F21" i="19"/>
  <c r="E21" i="19"/>
  <c r="D21" i="19"/>
  <c r="O21" i="19" s="1"/>
  <c r="M17" i="19"/>
  <c r="L17" i="19"/>
  <c r="K17" i="19"/>
  <c r="J17" i="19"/>
  <c r="P17" i="19" s="1"/>
  <c r="I17" i="19"/>
  <c r="H17" i="19"/>
  <c r="G17" i="19"/>
  <c r="F17" i="19"/>
  <c r="E17" i="19"/>
  <c r="D17" i="19"/>
  <c r="O17" i="19" s="1"/>
  <c r="M8" i="19"/>
  <c r="L8" i="19"/>
  <c r="K8" i="19"/>
  <c r="J8" i="19"/>
  <c r="P8" i="19" s="1"/>
  <c r="I8" i="19"/>
  <c r="H8" i="19"/>
  <c r="G8" i="19"/>
  <c r="F8" i="19"/>
  <c r="E8" i="19"/>
  <c r="D8" i="19"/>
  <c r="O8" i="19" s="1"/>
  <c r="N139" i="19"/>
  <c r="M139" i="19"/>
  <c r="L139" i="19"/>
  <c r="B115" i="19"/>
  <c r="S90" i="19" s="1"/>
  <c r="F115" i="19" s="1"/>
  <c r="B153" i="19" s="1"/>
  <c r="F77" i="19"/>
  <c r="A77" i="19"/>
  <c r="K63" i="19"/>
  <c r="F63" i="19"/>
  <c r="B63" i="19"/>
  <c r="A51" i="19"/>
  <c r="A50" i="19"/>
  <c r="K49" i="19"/>
  <c r="A49" i="19"/>
  <c r="P42" i="19"/>
  <c r="O42" i="19"/>
  <c r="P41" i="19"/>
  <c r="O41" i="19"/>
  <c r="P40" i="19"/>
  <c r="O40" i="19"/>
  <c r="P39" i="19"/>
  <c r="O39" i="19"/>
  <c r="P22" i="19"/>
  <c r="O22" i="19"/>
  <c r="P20" i="19"/>
  <c r="O20" i="19"/>
  <c r="P19" i="19"/>
  <c r="O19" i="19"/>
  <c r="P18" i="19"/>
  <c r="O18" i="19"/>
  <c r="P16" i="19"/>
  <c r="O16" i="19"/>
  <c r="P15" i="19"/>
  <c r="O15" i="19"/>
  <c r="P14" i="19"/>
  <c r="O14" i="19"/>
  <c r="P13" i="19"/>
  <c r="O13" i="19"/>
  <c r="P12" i="19"/>
  <c r="O12" i="19"/>
  <c r="P11" i="19"/>
  <c r="O11" i="19"/>
  <c r="P10" i="19"/>
  <c r="O10" i="19"/>
  <c r="P9" i="19"/>
  <c r="O9" i="19"/>
  <c r="P7" i="19"/>
  <c r="O7" i="19"/>
  <c r="P6" i="19"/>
  <c r="O6" i="19"/>
  <c r="P5" i="19"/>
  <c r="O5" i="19"/>
  <c r="P4" i="19"/>
  <c r="O4" i="19"/>
  <c r="P3" i="19"/>
  <c r="O3" i="19"/>
  <c r="P2" i="19"/>
  <c r="O2" i="19"/>
  <c r="P43" i="19"/>
  <c r="P90" i="19" s="1"/>
  <c r="P153" i="19" s="1"/>
  <c r="F143" i="18"/>
  <c r="E143" i="18"/>
  <c r="N142" i="18" s="1"/>
  <c r="D143" i="18"/>
  <c r="M142" i="18" s="1"/>
  <c r="C143" i="18"/>
  <c r="L142" i="18" s="1"/>
  <c r="F142" i="18"/>
  <c r="E142" i="18"/>
  <c r="N141" i="18" s="1"/>
  <c r="D142" i="18"/>
  <c r="M141" i="18" s="1"/>
  <c r="C142" i="18"/>
  <c r="L141" i="18" s="1"/>
  <c r="F141" i="18"/>
  <c r="E141" i="18"/>
  <c r="N140" i="18" s="1"/>
  <c r="D141" i="18"/>
  <c r="M140" i="18" s="1"/>
  <c r="C141" i="18"/>
  <c r="L140" i="18" s="1"/>
  <c r="F140" i="18"/>
  <c r="E140" i="18"/>
  <c r="D140" i="18"/>
  <c r="C140" i="18"/>
  <c r="F139" i="18"/>
  <c r="E139" i="18"/>
  <c r="D139" i="18"/>
  <c r="C139" i="18"/>
  <c r="F136" i="18"/>
  <c r="E136" i="18"/>
  <c r="D136" i="18"/>
  <c r="C136" i="18"/>
  <c r="F135" i="18"/>
  <c r="E135" i="18"/>
  <c r="D135" i="18"/>
  <c r="C135" i="18"/>
  <c r="F134" i="18"/>
  <c r="E134" i="18"/>
  <c r="D134" i="18"/>
  <c r="C134" i="18"/>
  <c r="F133" i="18"/>
  <c r="E133" i="18"/>
  <c r="D133" i="18"/>
  <c r="C133" i="18"/>
  <c r="F131" i="18"/>
  <c r="E131" i="18"/>
  <c r="D131" i="18"/>
  <c r="C131" i="18"/>
  <c r="F127" i="18"/>
  <c r="E127" i="18"/>
  <c r="D127" i="18"/>
  <c r="C127" i="18"/>
  <c r="M42" i="18"/>
  <c r="L42" i="18"/>
  <c r="K42" i="18"/>
  <c r="J42" i="18"/>
  <c r="I42" i="18"/>
  <c r="H42" i="18"/>
  <c r="G42" i="18"/>
  <c r="F42" i="18"/>
  <c r="E42" i="18"/>
  <c r="D42" i="18"/>
  <c r="M41" i="18"/>
  <c r="L41" i="18"/>
  <c r="K41" i="18"/>
  <c r="J41" i="18"/>
  <c r="I41" i="18"/>
  <c r="H41" i="18"/>
  <c r="G41" i="18"/>
  <c r="F41" i="18"/>
  <c r="E41" i="18"/>
  <c r="D41" i="18"/>
  <c r="M40" i="18"/>
  <c r="L40" i="18"/>
  <c r="K40" i="18"/>
  <c r="J40" i="18"/>
  <c r="I40" i="18"/>
  <c r="H40" i="18"/>
  <c r="G40" i="18"/>
  <c r="F40" i="18"/>
  <c r="E40" i="18"/>
  <c r="D40" i="18"/>
  <c r="M39" i="18"/>
  <c r="L39" i="18"/>
  <c r="K39" i="18"/>
  <c r="J39" i="18"/>
  <c r="I39" i="18"/>
  <c r="H39" i="18"/>
  <c r="G39" i="18"/>
  <c r="F39" i="18"/>
  <c r="E39" i="18"/>
  <c r="D39" i="18"/>
  <c r="M38" i="18"/>
  <c r="L38" i="18"/>
  <c r="K38" i="18"/>
  <c r="J38" i="18"/>
  <c r="P38" i="18" s="1"/>
  <c r="I38" i="18"/>
  <c r="H38" i="18"/>
  <c r="G38" i="18"/>
  <c r="F38" i="18"/>
  <c r="E38" i="18"/>
  <c r="D38" i="18"/>
  <c r="O38" i="18" s="1"/>
  <c r="M37" i="18"/>
  <c r="L37" i="18"/>
  <c r="K37" i="18"/>
  <c r="J37" i="18"/>
  <c r="P37" i="18" s="1"/>
  <c r="I37" i="18"/>
  <c r="H37" i="18"/>
  <c r="G37" i="18"/>
  <c r="F37" i="18"/>
  <c r="E37" i="18"/>
  <c r="D37" i="18"/>
  <c r="O37" i="18" s="1"/>
  <c r="M36" i="18"/>
  <c r="L36" i="18"/>
  <c r="K36" i="18"/>
  <c r="J36" i="18"/>
  <c r="P36" i="18" s="1"/>
  <c r="I36" i="18"/>
  <c r="H36" i="18"/>
  <c r="G36" i="18"/>
  <c r="F36" i="18"/>
  <c r="E36" i="18"/>
  <c r="D36" i="18"/>
  <c r="O36" i="18" s="1"/>
  <c r="M35" i="18"/>
  <c r="L35" i="18"/>
  <c r="K35" i="18"/>
  <c r="J35" i="18"/>
  <c r="P35" i="18" s="1"/>
  <c r="I35" i="18"/>
  <c r="H35" i="18"/>
  <c r="G35" i="18"/>
  <c r="F35" i="18"/>
  <c r="E35" i="18"/>
  <c r="D35" i="18"/>
  <c r="O35" i="18" s="1"/>
  <c r="M34" i="18"/>
  <c r="L34" i="18"/>
  <c r="K34" i="18"/>
  <c r="J34" i="18"/>
  <c r="P34" i="18" s="1"/>
  <c r="I34" i="18"/>
  <c r="H34" i="18"/>
  <c r="G34" i="18"/>
  <c r="F34" i="18"/>
  <c r="E34" i="18"/>
  <c r="D34" i="18"/>
  <c r="O34" i="18" s="1"/>
  <c r="M33" i="18"/>
  <c r="L33" i="18"/>
  <c r="K33" i="18"/>
  <c r="J33" i="18"/>
  <c r="P33" i="18" s="1"/>
  <c r="I33" i="18"/>
  <c r="H33" i="18"/>
  <c r="G33" i="18"/>
  <c r="F33" i="18"/>
  <c r="E33" i="18"/>
  <c r="D33" i="18"/>
  <c r="O33" i="18" s="1"/>
  <c r="M32" i="18"/>
  <c r="L32" i="18"/>
  <c r="K32" i="18"/>
  <c r="J32" i="18"/>
  <c r="P32" i="18" s="1"/>
  <c r="I32" i="18"/>
  <c r="H32" i="18"/>
  <c r="G32" i="18"/>
  <c r="F32" i="18"/>
  <c r="E32" i="18"/>
  <c r="D32" i="18"/>
  <c r="O32" i="18" s="1"/>
  <c r="M31" i="18"/>
  <c r="L31" i="18"/>
  <c r="K31" i="18"/>
  <c r="J31" i="18"/>
  <c r="P31" i="18" s="1"/>
  <c r="I31" i="18"/>
  <c r="H31" i="18"/>
  <c r="G31" i="18"/>
  <c r="F31" i="18"/>
  <c r="E31" i="18"/>
  <c r="D31" i="18"/>
  <c r="O31" i="18" s="1"/>
  <c r="M30" i="18"/>
  <c r="L30" i="18"/>
  <c r="K30" i="18"/>
  <c r="J30" i="18"/>
  <c r="P30" i="18" s="1"/>
  <c r="I30" i="18"/>
  <c r="H30" i="18"/>
  <c r="G30" i="18"/>
  <c r="F30" i="18"/>
  <c r="E30" i="18"/>
  <c r="D30" i="18"/>
  <c r="O30" i="18" s="1"/>
  <c r="M29" i="18"/>
  <c r="L29" i="18"/>
  <c r="K29" i="18"/>
  <c r="J29" i="18"/>
  <c r="P29" i="18" s="1"/>
  <c r="I29" i="18"/>
  <c r="H29" i="18"/>
  <c r="G29" i="18"/>
  <c r="F29" i="18"/>
  <c r="E29" i="18"/>
  <c r="D29" i="18"/>
  <c r="O29" i="18" s="1"/>
  <c r="M28" i="18"/>
  <c r="L28" i="18"/>
  <c r="K28" i="18"/>
  <c r="J28" i="18"/>
  <c r="P28" i="18" s="1"/>
  <c r="I28" i="18"/>
  <c r="H28" i="18"/>
  <c r="G28" i="18"/>
  <c r="F28" i="18"/>
  <c r="E28" i="18"/>
  <c r="D28" i="18"/>
  <c r="O28" i="18" s="1"/>
  <c r="M27" i="18"/>
  <c r="L27" i="18"/>
  <c r="K27" i="18"/>
  <c r="J27" i="18"/>
  <c r="P27" i="18" s="1"/>
  <c r="I27" i="18"/>
  <c r="H27" i="18"/>
  <c r="G27" i="18"/>
  <c r="F27" i="18"/>
  <c r="E27" i="18"/>
  <c r="D27" i="18"/>
  <c r="O27" i="18" s="1"/>
  <c r="M26" i="18"/>
  <c r="L26" i="18"/>
  <c r="K26" i="18"/>
  <c r="J26" i="18"/>
  <c r="P26" i="18" s="1"/>
  <c r="I26" i="18"/>
  <c r="H26" i="18"/>
  <c r="G26" i="18"/>
  <c r="F26" i="18"/>
  <c r="E26" i="18"/>
  <c r="D26" i="18"/>
  <c r="O26" i="18" s="1"/>
  <c r="M25" i="18"/>
  <c r="L25" i="18"/>
  <c r="K25" i="18"/>
  <c r="J25" i="18"/>
  <c r="P25" i="18" s="1"/>
  <c r="I25" i="18"/>
  <c r="H25" i="18"/>
  <c r="G25" i="18"/>
  <c r="F25" i="18"/>
  <c r="E25" i="18"/>
  <c r="D25" i="18"/>
  <c r="O25" i="18" s="1"/>
  <c r="M24" i="18"/>
  <c r="L24" i="18"/>
  <c r="K24" i="18"/>
  <c r="J24" i="18"/>
  <c r="P24" i="18" s="1"/>
  <c r="I24" i="18"/>
  <c r="H24" i="18"/>
  <c r="G24" i="18"/>
  <c r="F24" i="18"/>
  <c r="E24" i="18"/>
  <c r="D24" i="18"/>
  <c r="O24" i="18" s="1"/>
  <c r="M23" i="18"/>
  <c r="L23" i="18"/>
  <c r="K23" i="18"/>
  <c r="J23" i="18"/>
  <c r="P23" i="18" s="1"/>
  <c r="I23" i="18"/>
  <c r="H23" i="18"/>
  <c r="G23" i="18"/>
  <c r="F23" i="18"/>
  <c r="E23" i="18"/>
  <c r="D23" i="18"/>
  <c r="O23" i="18" s="1"/>
  <c r="M21" i="18"/>
  <c r="L21" i="18"/>
  <c r="K21" i="18"/>
  <c r="J21" i="18"/>
  <c r="P21" i="18" s="1"/>
  <c r="I21" i="18"/>
  <c r="H21" i="18"/>
  <c r="G21" i="18"/>
  <c r="F21" i="18"/>
  <c r="E21" i="18"/>
  <c r="D21" i="18"/>
  <c r="O21" i="18" s="1"/>
  <c r="M17" i="18"/>
  <c r="L17" i="18"/>
  <c r="K17" i="18"/>
  <c r="J17" i="18"/>
  <c r="P17" i="18" s="1"/>
  <c r="I17" i="18"/>
  <c r="H17" i="18"/>
  <c r="G17" i="18"/>
  <c r="F17" i="18"/>
  <c r="E17" i="18"/>
  <c r="D17" i="18"/>
  <c r="O17" i="18" s="1"/>
  <c r="M8" i="18"/>
  <c r="L8" i="18"/>
  <c r="K8" i="18"/>
  <c r="J8" i="18"/>
  <c r="P8" i="18" s="1"/>
  <c r="I8" i="18"/>
  <c r="H8" i="18"/>
  <c r="G8" i="18"/>
  <c r="F8" i="18"/>
  <c r="E8" i="18"/>
  <c r="D8" i="18"/>
  <c r="O8" i="18" s="1"/>
  <c r="N139" i="18"/>
  <c r="M139" i="18"/>
  <c r="L139" i="18"/>
  <c r="B115" i="18"/>
  <c r="S90" i="18" s="1"/>
  <c r="F115" i="18" s="1"/>
  <c r="B153" i="18" s="1"/>
  <c r="F77" i="18"/>
  <c r="A77" i="18"/>
  <c r="K63" i="18"/>
  <c r="F63" i="18"/>
  <c r="B63" i="18"/>
  <c r="A51" i="18"/>
  <c r="A50" i="18"/>
  <c r="K49" i="18"/>
  <c r="A49" i="18"/>
  <c r="P42" i="18"/>
  <c r="O42" i="18"/>
  <c r="P41" i="18"/>
  <c r="O41" i="18"/>
  <c r="P40" i="18"/>
  <c r="O40" i="18"/>
  <c r="P39" i="18"/>
  <c r="O39" i="18"/>
  <c r="P22" i="18"/>
  <c r="O22" i="18"/>
  <c r="P20" i="18"/>
  <c r="O20" i="18"/>
  <c r="P19" i="18"/>
  <c r="O19" i="18"/>
  <c r="P18" i="18"/>
  <c r="O18" i="18"/>
  <c r="P16" i="18"/>
  <c r="O16" i="18"/>
  <c r="P15" i="18"/>
  <c r="O15" i="18"/>
  <c r="P14" i="18"/>
  <c r="O14" i="18"/>
  <c r="P13" i="18"/>
  <c r="O13" i="18"/>
  <c r="P12" i="18"/>
  <c r="O12" i="18"/>
  <c r="P11" i="18"/>
  <c r="O11" i="18"/>
  <c r="P10" i="18"/>
  <c r="O10" i="18"/>
  <c r="P9" i="18"/>
  <c r="O9" i="18"/>
  <c r="P7" i="18"/>
  <c r="O7" i="18"/>
  <c r="P6" i="18"/>
  <c r="O6" i="18"/>
  <c r="P5" i="18"/>
  <c r="O5" i="18"/>
  <c r="P4" i="18"/>
  <c r="O4" i="18"/>
  <c r="P3" i="18"/>
  <c r="O3" i="18"/>
  <c r="P2" i="18"/>
  <c r="O2" i="18"/>
  <c r="P43" i="18"/>
  <c r="P90" i="18" s="1"/>
  <c r="P153" i="18" s="1"/>
  <c r="F143" i="17"/>
  <c r="E143" i="17"/>
  <c r="N142" i="17" s="1"/>
  <c r="D143" i="17"/>
  <c r="M142" i="17" s="1"/>
  <c r="C143" i="17"/>
  <c r="L142" i="17" s="1"/>
  <c r="F142" i="17"/>
  <c r="E142" i="17"/>
  <c r="N141" i="17" s="1"/>
  <c r="D142" i="17"/>
  <c r="M141" i="17" s="1"/>
  <c r="C142" i="17"/>
  <c r="L141" i="17" s="1"/>
  <c r="F141" i="17"/>
  <c r="E141" i="17"/>
  <c r="N140" i="17" s="1"/>
  <c r="D141" i="17"/>
  <c r="M140" i="17" s="1"/>
  <c r="C141" i="17"/>
  <c r="L140" i="17" s="1"/>
  <c r="F140" i="17"/>
  <c r="E140" i="17"/>
  <c r="D140" i="17"/>
  <c r="C140" i="17"/>
  <c r="F139" i="17"/>
  <c r="E139" i="17"/>
  <c r="D139" i="17"/>
  <c r="C139" i="17"/>
  <c r="F136" i="17"/>
  <c r="E136" i="17"/>
  <c r="D136" i="17"/>
  <c r="C136" i="17"/>
  <c r="F135" i="17"/>
  <c r="E135" i="17"/>
  <c r="D135" i="17"/>
  <c r="C135" i="17"/>
  <c r="F134" i="17"/>
  <c r="E134" i="17"/>
  <c r="D134" i="17"/>
  <c r="C134" i="17"/>
  <c r="F133" i="17"/>
  <c r="E133" i="17"/>
  <c r="D133" i="17"/>
  <c r="C133" i="17"/>
  <c r="F131" i="17"/>
  <c r="E131" i="17"/>
  <c r="D131" i="17"/>
  <c r="C131" i="17"/>
  <c r="F127" i="17"/>
  <c r="E127" i="17"/>
  <c r="D127" i="17"/>
  <c r="C127" i="17"/>
  <c r="M42" i="17"/>
  <c r="L42" i="17"/>
  <c r="K42" i="17"/>
  <c r="J42" i="17"/>
  <c r="I42" i="17"/>
  <c r="H42" i="17"/>
  <c r="G42" i="17"/>
  <c r="F42" i="17"/>
  <c r="E42" i="17"/>
  <c r="D42" i="17"/>
  <c r="M41" i="17"/>
  <c r="L41" i="17"/>
  <c r="K41" i="17"/>
  <c r="J41" i="17"/>
  <c r="I41" i="17"/>
  <c r="H41" i="17"/>
  <c r="G41" i="17"/>
  <c r="F41" i="17"/>
  <c r="E41" i="17"/>
  <c r="D41" i="17"/>
  <c r="M40" i="17"/>
  <c r="L40" i="17"/>
  <c r="K40" i="17"/>
  <c r="J40" i="17"/>
  <c r="I40" i="17"/>
  <c r="H40" i="17"/>
  <c r="G40" i="17"/>
  <c r="F40" i="17"/>
  <c r="E40" i="17"/>
  <c r="D40" i="17"/>
  <c r="M39" i="17"/>
  <c r="L39" i="17"/>
  <c r="K39" i="17"/>
  <c r="J39" i="17"/>
  <c r="I39" i="17"/>
  <c r="H39" i="17"/>
  <c r="G39" i="17"/>
  <c r="F39" i="17"/>
  <c r="E39" i="17"/>
  <c r="D39" i="17"/>
  <c r="M38" i="17"/>
  <c r="L38" i="17"/>
  <c r="K38" i="17"/>
  <c r="J38" i="17"/>
  <c r="P38" i="17" s="1"/>
  <c r="I38" i="17"/>
  <c r="H38" i="17"/>
  <c r="G38" i="17"/>
  <c r="F38" i="17"/>
  <c r="E38" i="17"/>
  <c r="D38" i="17"/>
  <c r="O38" i="17" s="1"/>
  <c r="M37" i="17"/>
  <c r="L37" i="17"/>
  <c r="K37" i="17"/>
  <c r="J37" i="17"/>
  <c r="P37" i="17" s="1"/>
  <c r="I37" i="17"/>
  <c r="H37" i="17"/>
  <c r="G37" i="17"/>
  <c r="F37" i="17"/>
  <c r="E37" i="17"/>
  <c r="D37" i="17"/>
  <c r="O37" i="17" s="1"/>
  <c r="M36" i="17"/>
  <c r="L36" i="17"/>
  <c r="K36" i="17"/>
  <c r="J36" i="17"/>
  <c r="P36" i="17" s="1"/>
  <c r="I36" i="17"/>
  <c r="H36" i="17"/>
  <c r="G36" i="17"/>
  <c r="F36" i="17"/>
  <c r="E36" i="17"/>
  <c r="D36" i="17"/>
  <c r="O36" i="17" s="1"/>
  <c r="M35" i="17"/>
  <c r="L35" i="17"/>
  <c r="K35" i="17"/>
  <c r="J35" i="17"/>
  <c r="P35" i="17" s="1"/>
  <c r="I35" i="17"/>
  <c r="H35" i="17"/>
  <c r="G35" i="17"/>
  <c r="F35" i="17"/>
  <c r="E35" i="17"/>
  <c r="D35" i="17"/>
  <c r="O35" i="17" s="1"/>
  <c r="M34" i="17"/>
  <c r="L34" i="17"/>
  <c r="K34" i="17"/>
  <c r="J34" i="17"/>
  <c r="P34" i="17" s="1"/>
  <c r="I34" i="17"/>
  <c r="H34" i="17"/>
  <c r="G34" i="17"/>
  <c r="F34" i="17"/>
  <c r="E34" i="17"/>
  <c r="D34" i="17"/>
  <c r="O34" i="17" s="1"/>
  <c r="M33" i="17"/>
  <c r="L33" i="17"/>
  <c r="K33" i="17"/>
  <c r="J33" i="17"/>
  <c r="P33" i="17" s="1"/>
  <c r="I33" i="17"/>
  <c r="H33" i="17"/>
  <c r="G33" i="17"/>
  <c r="F33" i="17"/>
  <c r="E33" i="17"/>
  <c r="D33" i="17"/>
  <c r="O33" i="17" s="1"/>
  <c r="M32" i="17"/>
  <c r="L32" i="17"/>
  <c r="K32" i="17"/>
  <c r="J32" i="17"/>
  <c r="P32" i="17" s="1"/>
  <c r="I32" i="17"/>
  <c r="H32" i="17"/>
  <c r="G32" i="17"/>
  <c r="F32" i="17"/>
  <c r="E32" i="17"/>
  <c r="D32" i="17"/>
  <c r="O32" i="17" s="1"/>
  <c r="M31" i="17"/>
  <c r="L31" i="17"/>
  <c r="K31" i="17"/>
  <c r="J31" i="17"/>
  <c r="P31" i="17" s="1"/>
  <c r="I31" i="17"/>
  <c r="H31" i="17"/>
  <c r="G31" i="17"/>
  <c r="F31" i="17"/>
  <c r="E31" i="17"/>
  <c r="D31" i="17"/>
  <c r="O31" i="17" s="1"/>
  <c r="M30" i="17"/>
  <c r="L30" i="17"/>
  <c r="K30" i="17"/>
  <c r="J30" i="17"/>
  <c r="P30" i="17" s="1"/>
  <c r="I30" i="17"/>
  <c r="H30" i="17"/>
  <c r="G30" i="17"/>
  <c r="F30" i="17"/>
  <c r="E30" i="17"/>
  <c r="D30" i="17"/>
  <c r="O30" i="17" s="1"/>
  <c r="M29" i="17"/>
  <c r="L29" i="17"/>
  <c r="K29" i="17"/>
  <c r="J29" i="17"/>
  <c r="P29" i="17" s="1"/>
  <c r="I29" i="17"/>
  <c r="H29" i="17"/>
  <c r="G29" i="17"/>
  <c r="F29" i="17"/>
  <c r="E29" i="17"/>
  <c r="D29" i="17"/>
  <c r="O29" i="17" s="1"/>
  <c r="M28" i="17"/>
  <c r="L28" i="17"/>
  <c r="K28" i="17"/>
  <c r="J28" i="17"/>
  <c r="P28" i="17" s="1"/>
  <c r="I28" i="17"/>
  <c r="H28" i="17"/>
  <c r="G28" i="17"/>
  <c r="F28" i="17"/>
  <c r="E28" i="17"/>
  <c r="D28" i="17"/>
  <c r="O28" i="17" s="1"/>
  <c r="M27" i="17"/>
  <c r="L27" i="17"/>
  <c r="K27" i="17"/>
  <c r="J27" i="17"/>
  <c r="P27" i="17" s="1"/>
  <c r="I27" i="17"/>
  <c r="H27" i="17"/>
  <c r="G27" i="17"/>
  <c r="F27" i="17"/>
  <c r="E27" i="17"/>
  <c r="D27" i="17"/>
  <c r="M26" i="17"/>
  <c r="L26" i="17"/>
  <c r="K26" i="17"/>
  <c r="J26" i="17"/>
  <c r="P26" i="17" s="1"/>
  <c r="I26" i="17"/>
  <c r="H26" i="17"/>
  <c r="G26" i="17"/>
  <c r="F26" i="17"/>
  <c r="E26" i="17"/>
  <c r="D26" i="17"/>
  <c r="O26" i="17" s="1"/>
  <c r="M25" i="17"/>
  <c r="L25" i="17"/>
  <c r="K25" i="17"/>
  <c r="J25" i="17"/>
  <c r="P25" i="17" s="1"/>
  <c r="I25" i="17"/>
  <c r="H25" i="17"/>
  <c r="G25" i="17"/>
  <c r="F25" i="17"/>
  <c r="E25" i="17"/>
  <c r="D25" i="17"/>
  <c r="O25" i="17" s="1"/>
  <c r="M24" i="17"/>
  <c r="L24" i="17"/>
  <c r="K24" i="17"/>
  <c r="J24" i="17"/>
  <c r="P24" i="17" s="1"/>
  <c r="I24" i="17"/>
  <c r="H24" i="17"/>
  <c r="G24" i="17"/>
  <c r="F24" i="17"/>
  <c r="E24" i="17"/>
  <c r="D24" i="17"/>
  <c r="O24" i="17" s="1"/>
  <c r="M23" i="17"/>
  <c r="L23" i="17"/>
  <c r="K23" i="17"/>
  <c r="J23" i="17"/>
  <c r="P23" i="17" s="1"/>
  <c r="I23" i="17"/>
  <c r="H23" i="17"/>
  <c r="G23" i="17"/>
  <c r="F23" i="17"/>
  <c r="E23" i="17"/>
  <c r="D23" i="17"/>
  <c r="O23" i="17" s="1"/>
  <c r="M21" i="17"/>
  <c r="L21" i="17"/>
  <c r="K21" i="17"/>
  <c r="J21" i="17"/>
  <c r="P21" i="17" s="1"/>
  <c r="I21" i="17"/>
  <c r="H21" i="17"/>
  <c r="G21" i="17"/>
  <c r="F21" i="17"/>
  <c r="E21" i="17"/>
  <c r="D21" i="17"/>
  <c r="O21" i="17" s="1"/>
  <c r="M17" i="17"/>
  <c r="L17" i="17"/>
  <c r="K17" i="17"/>
  <c r="J17" i="17"/>
  <c r="P17" i="17" s="1"/>
  <c r="I17" i="17"/>
  <c r="H17" i="17"/>
  <c r="G17" i="17"/>
  <c r="F17" i="17"/>
  <c r="E17" i="17"/>
  <c r="D17" i="17"/>
  <c r="O17" i="17" s="1"/>
  <c r="M8" i="17"/>
  <c r="L8" i="17"/>
  <c r="K8" i="17"/>
  <c r="J8" i="17"/>
  <c r="P8" i="17" s="1"/>
  <c r="I8" i="17"/>
  <c r="H8" i="17"/>
  <c r="G8" i="17"/>
  <c r="F8" i="17"/>
  <c r="E8" i="17"/>
  <c r="D8" i="17"/>
  <c r="O8" i="17" s="1"/>
  <c r="N139" i="17"/>
  <c r="M139" i="17"/>
  <c r="L139" i="17"/>
  <c r="B115" i="17"/>
  <c r="S90" i="17" s="1"/>
  <c r="F115" i="17" s="1"/>
  <c r="B153" i="17" s="1"/>
  <c r="F77" i="17"/>
  <c r="A77" i="17"/>
  <c r="K63" i="17"/>
  <c r="F63" i="17"/>
  <c r="B63" i="17"/>
  <c r="A51" i="17"/>
  <c r="A50" i="17"/>
  <c r="K49" i="17"/>
  <c r="A49" i="17"/>
  <c r="P42" i="17"/>
  <c r="O42" i="17"/>
  <c r="P41" i="17"/>
  <c r="O41" i="17"/>
  <c r="P40" i="17"/>
  <c r="O40" i="17"/>
  <c r="P39" i="17"/>
  <c r="O39" i="17"/>
  <c r="P22" i="17"/>
  <c r="O22" i="17"/>
  <c r="P20" i="17"/>
  <c r="O20" i="17"/>
  <c r="P19" i="17"/>
  <c r="O19" i="17"/>
  <c r="P18" i="17"/>
  <c r="O18" i="17"/>
  <c r="P16" i="17"/>
  <c r="O16" i="17"/>
  <c r="P15" i="17"/>
  <c r="O15" i="17"/>
  <c r="P14" i="17"/>
  <c r="O14" i="17"/>
  <c r="P13" i="17"/>
  <c r="O13" i="17"/>
  <c r="P12" i="17"/>
  <c r="O12" i="17"/>
  <c r="P11" i="17"/>
  <c r="O11" i="17"/>
  <c r="P10" i="17"/>
  <c r="O10" i="17"/>
  <c r="P9" i="17"/>
  <c r="O9" i="17"/>
  <c r="P7" i="17"/>
  <c r="O7" i="17"/>
  <c r="P6" i="17"/>
  <c r="O6" i="17"/>
  <c r="P5" i="17"/>
  <c r="O5" i="17"/>
  <c r="P4" i="17"/>
  <c r="O4" i="17"/>
  <c r="P3" i="17"/>
  <c r="O3" i="17"/>
  <c r="P2" i="17"/>
  <c r="O2" i="17"/>
  <c r="P43" i="17"/>
  <c r="P90" i="17" s="1"/>
  <c r="P153" i="17" s="1"/>
  <c r="F143" i="16"/>
  <c r="D143" i="16"/>
  <c r="M142" i="16" s="1"/>
  <c r="F142" i="16"/>
  <c r="D142" i="16"/>
  <c r="M141" i="16" s="1"/>
  <c r="F141" i="16"/>
  <c r="D141" i="16"/>
  <c r="M140" i="16" s="1"/>
  <c r="F140" i="16"/>
  <c r="D140" i="16"/>
  <c r="F139" i="16"/>
  <c r="D139" i="16"/>
  <c r="F136" i="16"/>
  <c r="D136" i="16"/>
  <c r="F135" i="16"/>
  <c r="D135" i="16"/>
  <c r="F134" i="16"/>
  <c r="D134" i="16"/>
  <c r="F133" i="16"/>
  <c r="D133" i="16"/>
  <c r="F131" i="16"/>
  <c r="D131" i="16"/>
  <c r="F127" i="16"/>
  <c r="D127" i="16"/>
  <c r="M42" i="16"/>
  <c r="K42" i="16"/>
  <c r="J42" i="16"/>
  <c r="D42" i="16"/>
  <c r="D41" i="16"/>
  <c r="M39" i="16"/>
  <c r="K39" i="16"/>
  <c r="J39" i="16"/>
  <c r="D39" i="16"/>
  <c r="M38" i="16"/>
  <c r="L38" i="16"/>
  <c r="K38" i="16"/>
  <c r="J38" i="16"/>
  <c r="P38" i="16" s="1"/>
  <c r="I38" i="16"/>
  <c r="H38" i="16"/>
  <c r="G38" i="16"/>
  <c r="F38" i="16"/>
  <c r="E38" i="16"/>
  <c r="D38" i="16"/>
  <c r="O38" i="16" s="1"/>
  <c r="M37" i="16"/>
  <c r="L37" i="16"/>
  <c r="K37" i="16"/>
  <c r="J37" i="16"/>
  <c r="P37" i="16" s="1"/>
  <c r="I37" i="16"/>
  <c r="H37" i="16"/>
  <c r="G37" i="16"/>
  <c r="F37" i="16"/>
  <c r="E37" i="16"/>
  <c r="D37" i="16"/>
  <c r="M36" i="16"/>
  <c r="L36" i="16"/>
  <c r="K36" i="16"/>
  <c r="J36" i="16"/>
  <c r="P36" i="16" s="1"/>
  <c r="I36" i="16"/>
  <c r="H36" i="16"/>
  <c r="G36" i="16"/>
  <c r="F36" i="16"/>
  <c r="E36" i="16"/>
  <c r="D36" i="16"/>
  <c r="O36" i="16" s="1"/>
  <c r="M35" i="16"/>
  <c r="L35" i="16"/>
  <c r="K35" i="16"/>
  <c r="J35" i="16"/>
  <c r="P35" i="16" s="1"/>
  <c r="I35" i="16"/>
  <c r="H35" i="16"/>
  <c r="G35" i="16"/>
  <c r="F35" i="16"/>
  <c r="E35" i="16"/>
  <c r="D35" i="16"/>
  <c r="O35" i="16" s="1"/>
  <c r="M34" i="16"/>
  <c r="L34" i="16"/>
  <c r="K34" i="16"/>
  <c r="J34" i="16"/>
  <c r="P34" i="16" s="1"/>
  <c r="I34" i="16"/>
  <c r="H34" i="16"/>
  <c r="G34" i="16"/>
  <c r="F34" i="16"/>
  <c r="E34" i="16"/>
  <c r="D34" i="16"/>
  <c r="O34" i="16" s="1"/>
  <c r="I33" i="16"/>
  <c r="H33" i="16"/>
  <c r="G33" i="16"/>
  <c r="F33" i="16"/>
  <c r="E33" i="16"/>
  <c r="D33" i="16"/>
  <c r="O33" i="16" s="1"/>
  <c r="M32" i="16"/>
  <c r="L32" i="16"/>
  <c r="K32" i="16"/>
  <c r="J32" i="16"/>
  <c r="P32" i="16" s="1"/>
  <c r="I32" i="16"/>
  <c r="H32" i="16"/>
  <c r="G32" i="16"/>
  <c r="F32" i="16"/>
  <c r="E32" i="16"/>
  <c r="D32" i="16"/>
  <c r="O32" i="16" s="1"/>
  <c r="M31" i="16"/>
  <c r="L31" i="16"/>
  <c r="K31" i="16"/>
  <c r="J31" i="16"/>
  <c r="P31" i="16" s="1"/>
  <c r="I31" i="16"/>
  <c r="H31" i="16"/>
  <c r="G31" i="16"/>
  <c r="F31" i="16"/>
  <c r="E31" i="16"/>
  <c r="D31" i="16"/>
  <c r="O31" i="16" s="1"/>
  <c r="M30" i="16"/>
  <c r="L30" i="16"/>
  <c r="K30" i="16"/>
  <c r="J30" i="16"/>
  <c r="P30" i="16" s="1"/>
  <c r="I30" i="16"/>
  <c r="H30" i="16"/>
  <c r="G30" i="16"/>
  <c r="F30" i="16"/>
  <c r="E30" i="16"/>
  <c r="D30" i="16"/>
  <c r="O30" i="16" s="1"/>
  <c r="L29" i="16"/>
  <c r="I29" i="16"/>
  <c r="H29" i="16"/>
  <c r="G29" i="16"/>
  <c r="F29" i="16"/>
  <c r="E29" i="16"/>
  <c r="D29" i="16"/>
  <c r="M28" i="16"/>
  <c r="L28" i="16"/>
  <c r="K28" i="16"/>
  <c r="J28" i="16"/>
  <c r="P28" i="16" s="1"/>
  <c r="I28" i="16"/>
  <c r="H28" i="16"/>
  <c r="G28" i="16"/>
  <c r="F28" i="16"/>
  <c r="E28" i="16"/>
  <c r="D28" i="16"/>
  <c r="O28" i="16" s="1"/>
  <c r="M27" i="16"/>
  <c r="L27" i="16"/>
  <c r="K27" i="16"/>
  <c r="J27" i="16"/>
  <c r="P27" i="16" s="1"/>
  <c r="I27" i="16"/>
  <c r="H27" i="16"/>
  <c r="G27" i="16"/>
  <c r="F27" i="16"/>
  <c r="E27" i="16"/>
  <c r="D27" i="16"/>
  <c r="O27" i="16" s="1"/>
  <c r="M26" i="16"/>
  <c r="L26" i="16"/>
  <c r="K26" i="16"/>
  <c r="J26" i="16"/>
  <c r="P26" i="16" s="1"/>
  <c r="I26" i="16"/>
  <c r="H26" i="16"/>
  <c r="G26" i="16"/>
  <c r="F26" i="16"/>
  <c r="E26" i="16"/>
  <c r="D26" i="16"/>
  <c r="O26" i="16" s="1"/>
  <c r="M25" i="16"/>
  <c r="L25" i="16"/>
  <c r="K25" i="16"/>
  <c r="J25" i="16"/>
  <c r="P25" i="16" s="1"/>
  <c r="I25" i="16"/>
  <c r="H25" i="16"/>
  <c r="G25" i="16"/>
  <c r="F25" i="16"/>
  <c r="E25" i="16"/>
  <c r="D25" i="16"/>
  <c r="O25" i="16" s="1"/>
  <c r="M24" i="16"/>
  <c r="L24" i="16"/>
  <c r="K24" i="16"/>
  <c r="J24" i="16"/>
  <c r="P24" i="16" s="1"/>
  <c r="I24" i="16"/>
  <c r="H24" i="16"/>
  <c r="G24" i="16"/>
  <c r="F24" i="16"/>
  <c r="E24" i="16"/>
  <c r="D24" i="16"/>
  <c r="O24" i="16" s="1"/>
  <c r="M23" i="16"/>
  <c r="L23" i="16"/>
  <c r="K23" i="16"/>
  <c r="J23" i="16"/>
  <c r="P23" i="16" s="1"/>
  <c r="I23" i="16"/>
  <c r="H23" i="16"/>
  <c r="G23" i="16"/>
  <c r="F23" i="16"/>
  <c r="E23" i="16"/>
  <c r="D23" i="16"/>
  <c r="O23" i="16" s="1"/>
  <c r="M21" i="16"/>
  <c r="L21" i="16"/>
  <c r="K21" i="16"/>
  <c r="J21" i="16"/>
  <c r="P21" i="16" s="1"/>
  <c r="I21" i="16"/>
  <c r="H21" i="16"/>
  <c r="G21" i="16"/>
  <c r="F21" i="16"/>
  <c r="E21" i="16"/>
  <c r="D21" i="16"/>
  <c r="O21" i="16" s="1"/>
  <c r="M17" i="16"/>
  <c r="L17" i="16"/>
  <c r="K17" i="16"/>
  <c r="J17" i="16"/>
  <c r="P17" i="16" s="1"/>
  <c r="I17" i="16"/>
  <c r="H17" i="16"/>
  <c r="G17" i="16"/>
  <c r="F17" i="16"/>
  <c r="E17" i="16"/>
  <c r="D17" i="16"/>
  <c r="O17" i="16" s="1"/>
  <c r="M8" i="16"/>
  <c r="L8" i="16"/>
  <c r="K8" i="16"/>
  <c r="J8" i="16"/>
  <c r="P8" i="16" s="1"/>
  <c r="I8" i="16"/>
  <c r="H8" i="16"/>
  <c r="G8" i="16"/>
  <c r="F8" i="16"/>
  <c r="E8" i="16"/>
  <c r="D8" i="16"/>
  <c r="O8" i="16" s="1"/>
  <c r="N142" i="16"/>
  <c r="L142" i="16"/>
  <c r="N141" i="16"/>
  <c r="L141" i="16"/>
  <c r="L143" i="16" s="1"/>
  <c r="N140" i="16"/>
  <c r="L140" i="16"/>
  <c r="N139" i="16"/>
  <c r="M139" i="16"/>
  <c r="L139" i="16"/>
  <c r="B115" i="16"/>
  <c r="S90" i="16" s="1"/>
  <c r="F115" i="16" s="1"/>
  <c r="B153" i="16" s="1"/>
  <c r="F77" i="16"/>
  <c r="A77" i="16"/>
  <c r="K63" i="16"/>
  <c r="F63" i="16"/>
  <c r="B63" i="16"/>
  <c r="A51" i="16"/>
  <c r="A50" i="16"/>
  <c r="K49" i="16"/>
  <c r="A49" i="16"/>
  <c r="P42" i="16"/>
  <c r="O42" i="16"/>
  <c r="P41" i="16"/>
  <c r="O41" i="16"/>
  <c r="P40" i="16"/>
  <c r="O40" i="16"/>
  <c r="P39" i="16"/>
  <c r="O39" i="16"/>
  <c r="P33" i="16"/>
  <c r="P29" i="16"/>
  <c r="O29" i="16"/>
  <c r="P22" i="16"/>
  <c r="O22" i="16"/>
  <c r="P20" i="16"/>
  <c r="O20" i="16"/>
  <c r="P19" i="16"/>
  <c r="O19" i="16"/>
  <c r="P18" i="16"/>
  <c r="O18" i="16"/>
  <c r="P16" i="16"/>
  <c r="O16" i="16"/>
  <c r="P15" i="16"/>
  <c r="O15" i="16"/>
  <c r="P14" i="16"/>
  <c r="O14" i="16"/>
  <c r="P13" i="16"/>
  <c r="O13" i="16"/>
  <c r="P12" i="16"/>
  <c r="O12" i="16"/>
  <c r="P11" i="16"/>
  <c r="O11" i="16"/>
  <c r="P10" i="16"/>
  <c r="O10" i="16"/>
  <c r="P9" i="16"/>
  <c r="O9" i="16"/>
  <c r="P7" i="16"/>
  <c r="O7" i="16"/>
  <c r="P6" i="16"/>
  <c r="O6" i="16"/>
  <c r="P5" i="16"/>
  <c r="O5" i="16"/>
  <c r="P4" i="16"/>
  <c r="O4" i="16"/>
  <c r="P3" i="16"/>
  <c r="O3" i="16"/>
  <c r="P2" i="16"/>
  <c r="O2" i="16"/>
  <c r="P43" i="16"/>
  <c r="P90" i="16" s="1"/>
  <c r="P153" i="16" s="1"/>
  <c r="F143" i="15"/>
  <c r="F142" i="15"/>
  <c r="F141" i="15"/>
  <c r="F140" i="15"/>
  <c r="F139" i="15"/>
  <c r="F136" i="15"/>
  <c r="F135" i="15"/>
  <c r="F134" i="15"/>
  <c r="F133" i="15"/>
  <c r="F131" i="15"/>
  <c r="F127" i="15"/>
  <c r="J42" i="15"/>
  <c r="H42" i="15"/>
  <c r="G42" i="15"/>
  <c r="F42" i="15"/>
  <c r="E42" i="15"/>
  <c r="D42" i="15"/>
  <c r="H41" i="15"/>
  <c r="G41" i="15"/>
  <c r="F41" i="15"/>
  <c r="E41" i="15"/>
  <c r="J40" i="15"/>
  <c r="H40" i="15"/>
  <c r="G40" i="15"/>
  <c r="F40" i="15"/>
  <c r="E40" i="15"/>
  <c r="D40" i="15"/>
  <c r="H39" i="15"/>
  <c r="G39" i="15"/>
  <c r="F39" i="15"/>
  <c r="E39" i="15"/>
  <c r="D39" i="15"/>
  <c r="M38" i="15"/>
  <c r="L38" i="15"/>
  <c r="K38" i="15"/>
  <c r="J38" i="15"/>
  <c r="P38" i="15" s="1"/>
  <c r="I38" i="15"/>
  <c r="H38" i="15"/>
  <c r="G38" i="15"/>
  <c r="F38" i="15"/>
  <c r="E38" i="15"/>
  <c r="D38" i="15"/>
  <c r="O38" i="15" s="1"/>
  <c r="M37" i="15"/>
  <c r="L37" i="15"/>
  <c r="K37" i="15"/>
  <c r="J37" i="15"/>
  <c r="P37" i="15" s="1"/>
  <c r="I37" i="15"/>
  <c r="H37" i="15"/>
  <c r="G37" i="15"/>
  <c r="F37" i="15"/>
  <c r="E37" i="15"/>
  <c r="D37" i="15"/>
  <c r="O37" i="15" s="1"/>
  <c r="M36" i="15"/>
  <c r="L36" i="15"/>
  <c r="K36" i="15"/>
  <c r="J36" i="15"/>
  <c r="P36" i="15" s="1"/>
  <c r="I36" i="15"/>
  <c r="H36" i="15"/>
  <c r="G36" i="15"/>
  <c r="F36" i="15"/>
  <c r="E36" i="15"/>
  <c r="D36" i="15"/>
  <c r="O36" i="15" s="1"/>
  <c r="M35" i="15"/>
  <c r="L35" i="15"/>
  <c r="K35" i="15"/>
  <c r="J35" i="15"/>
  <c r="P35" i="15" s="1"/>
  <c r="I35" i="15"/>
  <c r="H35" i="15"/>
  <c r="G35" i="15"/>
  <c r="F35" i="15"/>
  <c r="E35" i="15"/>
  <c r="D35" i="15"/>
  <c r="O35" i="15" s="1"/>
  <c r="M34" i="15"/>
  <c r="L34" i="15"/>
  <c r="K34" i="15"/>
  <c r="J34" i="15"/>
  <c r="P34" i="15" s="1"/>
  <c r="I34" i="15"/>
  <c r="H34" i="15"/>
  <c r="G34" i="15"/>
  <c r="F34" i="15"/>
  <c r="E34" i="15"/>
  <c r="D34" i="15"/>
  <c r="O34" i="15" s="1"/>
  <c r="M33" i="15"/>
  <c r="L33" i="15"/>
  <c r="K33" i="15"/>
  <c r="J33" i="15"/>
  <c r="P33" i="15" s="1"/>
  <c r="I33" i="15"/>
  <c r="H33" i="15"/>
  <c r="G33" i="15"/>
  <c r="F33" i="15"/>
  <c r="E33" i="15"/>
  <c r="D33" i="15"/>
  <c r="O33" i="15" s="1"/>
  <c r="M32" i="15"/>
  <c r="L32" i="15"/>
  <c r="K32" i="15"/>
  <c r="J32" i="15"/>
  <c r="P32" i="15" s="1"/>
  <c r="I32" i="15"/>
  <c r="H32" i="15"/>
  <c r="G32" i="15"/>
  <c r="F32" i="15"/>
  <c r="E32" i="15"/>
  <c r="D32" i="15"/>
  <c r="O32" i="15" s="1"/>
  <c r="M31" i="15"/>
  <c r="L31" i="15"/>
  <c r="K31" i="15"/>
  <c r="J31" i="15"/>
  <c r="P31" i="15" s="1"/>
  <c r="I31" i="15"/>
  <c r="H31" i="15"/>
  <c r="G31" i="15"/>
  <c r="F31" i="15"/>
  <c r="E31" i="15"/>
  <c r="D31" i="15"/>
  <c r="O31" i="15" s="1"/>
  <c r="M30" i="15"/>
  <c r="L30" i="15"/>
  <c r="K30" i="15"/>
  <c r="J30" i="15"/>
  <c r="P30" i="15" s="1"/>
  <c r="I30" i="15"/>
  <c r="H30" i="15"/>
  <c r="G30" i="15"/>
  <c r="F30" i="15"/>
  <c r="E30" i="15"/>
  <c r="D30" i="15"/>
  <c r="O30" i="15" s="1"/>
  <c r="M29" i="15"/>
  <c r="L29" i="15"/>
  <c r="K29" i="15"/>
  <c r="J29" i="15"/>
  <c r="P29" i="15" s="1"/>
  <c r="I29" i="15"/>
  <c r="H29" i="15"/>
  <c r="G29" i="15"/>
  <c r="F29" i="15"/>
  <c r="E29" i="15"/>
  <c r="D29" i="15"/>
  <c r="O29" i="15" s="1"/>
  <c r="M28" i="15"/>
  <c r="L28" i="15"/>
  <c r="K28" i="15"/>
  <c r="J28" i="15"/>
  <c r="P28" i="15" s="1"/>
  <c r="I28" i="15"/>
  <c r="H28" i="15"/>
  <c r="G28" i="15"/>
  <c r="F28" i="15"/>
  <c r="E28" i="15"/>
  <c r="D28" i="15"/>
  <c r="O28" i="15" s="1"/>
  <c r="M27" i="15"/>
  <c r="L27" i="15"/>
  <c r="K27" i="15"/>
  <c r="J27" i="15"/>
  <c r="P27" i="15" s="1"/>
  <c r="I27" i="15"/>
  <c r="H27" i="15"/>
  <c r="G27" i="15"/>
  <c r="F27" i="15"/>
  <c r="E27" i="15"/>
  <c r="D27" i="15"/>
  <c r="M26" i="15"/>
  <c r="L26" i="15"/>
  <c r="K26" i="15"/>
  <c r="J26" i="15"/>
  <c r="P26" i="15" s="1"/>
  <c r="I26" i="15"/>
  <c r="H26" i="15"/>
  <c r="G26" i="15"/>
  <c r="F26" i="15"/>
  <c r="E26" i="15"/>
  <c r="D26" i="15"/>
  <c r="O26" i="15" s="1"/>
  <c r="M25" i="15"/>
  <c r="L25" i="15"/>
  <c r="K25" i="15"/>
  <c r="J25" i="15"/>
  <c r="P25" i="15" s="1"/>
  <c r="I25" i="15"/>
  <c r="H25" i="15"/>
  <c r="G25" i="15"/>
  <c r="F25" i="15"/>
  <c r="E25" i="15"/>
  <c r="D25" i="15"/>
  <c r="O25" i="15" s="1"/>
  <c r="M24" i="15"/>
  <c r="L24" i="15"/>
  <c r="K24" i="15"/>
  <c r="J24" i="15"/>
  <c r="P24" i="15" s="1"/>
  <c r="I24" i="15"/>
  <c r="H24" i="15"/>
  <c r="G24" i="15"/>
  <c r="F24" i="15"/>
  <c r="E24" i="15"/>
  <c r="D24" i="15"/>
  <c r="O24" i="15" s="1"/>
  <c r="M23" i="15"/>
  <c r="L23" i="15"/>
  <c r="K23" i="15"/>
  <c r="J23" i="15"/>
  <c r="P23" i="15" s="1"/>
  <c r="I23" i="15"/>
  <c r="H23" i="15"/>
  <c r="G23" i="15"/>
  <c r="F23" i="15"/>
  <c r="E23" i="15"/>
  <c r="D23" i="15"/>
  <c r="O23" i="15" s="1"/>
  <c r="M21" i="15"/>
  <c r="L21" i="15"/>
  <c r="K21" i="15"/>
  <c r="J21" i="15"/>
  <c r="P21" i="15" s="1"/>
  <c r="I21" i="15"/>
  <c r="H21" i="15"/>
  <c r="G21" i="15"/>
  <c r="F21" i="15"/>
  <c r="E21" i="15"/>
  <c r="D21" i="15"/>
  <c r="O21" i="15" s="1"/>
  <c r="M17" i="15"/>
  <c r="L17" i="15"/>
  <c r="K17" i="15"/>
  <c r="J17" i="15"/>
  <c r="P17" i="15" s="1"/>
  <c r="I17" i="15"/>
  <c r="H17" i="15"/>
  <c r="G17" i="15"/>
  <c r="F17" i="15"/>
  <c r="E17" i="15"/>
  <c r="D17" i="15"/>
  <c r="O17" i="15" s="1"/>
  <c r="M8" i="15"/>
  <c r="L8" i="15"/>
  <c r="K8" i="15"/>
  <c r="J8" i="15"/>
  <c r="P8" i="15" s="1"/>
  <c r="I8" i="15"/>
  <c r="H8" i="15"/>
  <c r="G8" i="15"/>
  <c r="F8" i="15"/>
  <c r="E8" i="15"/>
  <c r="D8" i="15"/>
  <c r="O8" i="15" s="1"/>
  <c r="N142" i="15"/>
  <c r="M142" i="15"/>
  <c r="M144" i="15" s="1"/>
  <c r="L142" i="15"/>
  <c r="L144" i="15" s="1"/>
  <c r="N141" i="15"/>
  <c r="N143" i="15" s="1"/>
  <c r="M141" i="15"/>
  <c r="L141" i="15"/>
  <c r="N140" i="15"/>
  <c r="M140" i="15"/>
  <c r="M143" i="15" s="1"/>
  <c r="L140" i="15"/>
  <c r="N139" i="15"/>
  <c r="M139" i="15"/>
  <c r="L139" i="15"/>
  <c r="B115" i="15"/>
  <c r="S90" i="15" s="1"/>
  <c r="F115" i="15" s="1"/>
  <c r="B153" i="15" s="1"/>
  <c r="F77" i="15"/>
  <c r="A77" i="15"/>
  <c r="K63" i="15"/>
  <c r="F63" i="15"/>
  <c r="B63" i="15"/>
  <c r="A51" i="15"/>
  <c r="A50" i="15"/>
  <c r="K49" i="15"/>
  <c r="A49" i="15"/>
  <c r="P42" i="15"/>
  <c r="O42" i="15"/>
  <c r="P41" i="15"/>
  <c r="O41" i="15"/>
  <c r="P40" i="15"/>
  <c r="O40" i="15"/>
  <c r="P39" i="15"/>
  <c r="O39" i="15"/>
  <c r="P22" i="15"/>
  <c r="O22" i="15"/>
  <c r="P20" i="15"/>
  <c r="O20" i="15"/>
  <c r="P19" i="15"/>
  <c r="O19" i="15"/>
  <c r="P18" i="15"/>
  <c r="O18" i="15"/>
  <c r="P16" i="15"/>
  <c r="O16" i="15"/>
  <c r="P15" i="15"/>
  <c r="O15" i="15"/>
  <c r="P14" i="15"/>
  <c r="O14" i="15"/>
  <c r="P13" i="15"/>
  <c r="O13" i="15"/>
  <c r="P12" i="15"/>
  <c r="O12" i="15"/>
  <c r="P11" i="15"/>
  <c r="O11" i="15"/>
  <c r="P10" i="15"/>
  <c r="O10" i="15"/>
  <c r="P9" i="15"/>
  <c r="O9" i="15"/>
  <c r="P7" i="15"/>
  <c r="O7" i="15"/>
  <c r="P6" i="15"/>
  <c r="O6" i="15"/>
  <c r="P5" i="15"/>
  <c r="O5" i="15"/>
  <c r="P4" i="15"/>
  <c r="O4" i="15"/>
  <c r="P3" i="15"/>
  <c r="O3" i="15"/>
  <c r="P2" i="15"/>
  <c r="O2" i="15"/>
  <c r="P43" i="15"/>
  <c r="P90" i="15" s="1"/>
  <c r="P153" i="15" s="1"/>
  <c r="F143" i="13"/>
  <c r="E143" i="13"/>
  <c r="N142" i="13" s="1"/>
  <c r="D143" i="13"/>
  <c r="M142" i="13" s="1"/>
  <c r="C143" i="13"/>
  <c r="F142" i="13"/>
  <c r="E142" i="13"/>
  <c r="N141" i="13" s="1"/>
  <c r="D142" i="13"/>
  <c r="M141" i="13" s="1"/>
  <c r="C142" i="13"/>
  <c r="L141" i="13" s="1"/>
  <c r="F141" i="13"/>
  <c r="E141" i="13"/>
  <c r="N140" i="13" s="1"/>
  <c r="D141" i="13"/>
  <c r="M140" i="13" s="1"/>
  <c r="C141" i="13"/>
  <c r="L140" i="13" s="1"/>
  <c r="F140" i="13"/>
  <c r="E140" i="13"/>
  <c r="D140" i="13"/>
  <c r="C140" i="13"/>
  <c r="F139" i="13"/>
  <c r="E139" i="13"/>
  <c r="D139" i="13"/>
  <c r="C139" i="13"/>
  <c r="F136" i="13"/>
  <c r="E136" i="13"/>
  <c r="D136" i="13"/>
  <c r="C136" i="13"/>
  <c r="F135" i="13"/>
  <c r="E135" i="13"/>
  <c r="D135" i="13"/>
  <c r="C135" i="13"/>
  <c r="F134" i="13"/>
  <c r="E134" i="13"/>
  <c r="D134" i="13"/>
  <c r="C134" i="13"/>
  <c r="F133" i="13"/>
  <c r="E133" i="13"/>
  <c r="D133" i="13"/>
  <c r="C133" i="13"/>
  <c r="F131" i="13"/>
  <c r="E131" i="13"/>
  <c r="D131" i="13"/>
  <c r="C131" i="13"/>
  <c r="F127" i="13"/>
  <c r="E127" i="13"/>
  <c r="D127" i="13"/>
  <c r="C127" i="13"/>
  <c r="M42" i="13"/>
  <c r="L42" i="13"/>
  <c r="K42" i="13"/>
  <c r="J42" i="13"/>
  <c r="I42" i="13"/>
  <c r="H42" i="13"/>
  <c r="G42" i="13"/>
  <c r="F42" i="13"/>
  <c r="E42" i="13"/>
  <c r="D42" i="13"/>
  <c r="K41" i="13"/>
  <c r="F41" i="13"/>
  <c r="D41" i="13"/>
  <c r="K40" i="13"/>
  <c r="G40" i="13"/>
  <c r="F40" i="13"/>
  <c r="D40" i="13"/>
  <c r="M39" i="13"/>
  <c r="L39" i="13"/>
  <c r="K39" i="13"/>
  <c r="J39" i="13"/>
  <c r="I39" i="13"/>
  <c r="H39" i="13"/>
  <c r="G39" i="13"/>
  <c r="F39" i="13"/>
  <c r="E39" i="13"/>
  <c r="D39" i="13"/>
  <c r="M38" i="13"/>
  <c r="L38" i="13"/>
  <c r="K38" i="13"/>
  <c r="J38" i="13"/>
  <c r="P38" i="13" s="1"/>
  <c r="I38" i="13"/>
  <c r="H38" i="13"/>
  <c r="G38" i="13"/>
  <c r="F38" i="13"/>
  <c r="D38" i="13"/>
  <c r="O38" i="13" s="1"/>
  <c r="M37" i="13"/>
  <c r="L37" i="13"/>
  <c r="K37" i="13"/>
  <c r="J37" i="13"/>
  <c r="P37" i="13" s="1"/>
  <c r="I37" i="13"/>
  <c r="H37" i="13"/>
  <c r="G37" i="13"/>
  <c r="F37" i="13"/>
  <c r="E37" i="13"/>
  <c r="D37" i="13"/>
  <c r="O37" i="13" s="1"/>
  <c r="M36" i="13"/>
  <c r="L36" i="13"/>
  <c r="K36" i="13"/>
  <c r="J36" i="13"/>
  <c r="P36" i="13" s="1"/>
  <c r="I36" i="13"/>
  <c r="H36" i="13"/>
  <c r="G36" i="13"/>
  <c r="F36" i="13"/>
  <c r="E36" i="13"/>
  <c r="D36" i="13"/>
  <c r="O36" i="13" s="1"/>
  <c r="M35" i="13"/>
  <c r="L35" i="13"/>
  <c r="K35" i="13"/>
  <c r="J35" i="13"/>
  <c r="P35" i="13" s="1"/>
  <c r="I35" i="13"/>
  <c r="H35" i="13"/>
  <c r="G35" i="13"/>
  <c r="F35" i="13"/>
  <c r="E35" i="13"/>
  <c r="D35" i="13"/>
  <c r="O35" i="13" s="1"/>
  <c r="M34" i="13"/>
  <c r="L34" i="13"/>
  <c r="K34" i="13"/>
  <c r="J34" i="13"/>
  <c r="P34" i="13" s="1"/>
  <c r="I34" i="13"/>
  <c r="H34" i="13"/>
  <c r="G34" i="13"/>
  <c r="F34" i="13"/>
  <c r="E34" i="13"/>
  <c r="D34" i="13"/>
  <c r="O34" i="13" s="1"/>
  <c r="M33" i="13"/>
  <c r="L33" i="13"/>
  <c r="K33" i="13"/>
  <c r="J33" i="13"/>
  <c r="P33" i="13" s="1"/>
  <c r="I33" i="13"/>
  <c r="H33" i="13"/>
  <c r="G33" i="13"/>
  <c r="F33" i="13"/>
  <c r="E33" i="13"/>
  <c r="D33" i="13"/>
  <c r="O33" i="13" s="1"/>
  <c r="M32" i="13"/>
  <c r="L32" i="13"/>
  <c r="K32" i="13"/>
  <c r="J32" i="13"/>
  <c r="P32" i="13" s="1"/>
  <c r="I32" i="13"/>
  <c r="H32" i="13"/>
  <c r="G32" i="13"/>
  <c r="F32" i="13"/>
  <c r="E32" i="13"/>
  <c r="D32" i="13"/>
  <c r="O32" i="13" s="1"/>
  <c r="M31" i="13"/>
  <c r="L31" i="13"/>
  <c r="K31" i="13"/>
  <c r="J31" i="13"/>
  <c r="P31" i="13" s="1"/>
  <c r="I31" i="13"/>
  <c r="H31" i="13"/>
  <c r="G31" i="13"/>
  <c r="F31" i="13"/>
  <c r="E31" i="13"/>
  <c r="D31" i="13"/>
  <c r="O31" i="13" s="1"/>
  <c r="M30" i="13"/>
  <c r="L30" i="13"/>
  <c r="K30" i="13"/>
  <c r="J30" i="13"/>
  <c r="P30" i="13" s="1"/>
  <c r="I30" i="13"/>
  <c r="H30" i="13"/>
  <c r="G30" i="13"/>
  <c r="F30" i="13"/>
  <c r="E30" i="13"/>
  <c r="D30" i="13"/>
  <c r="O30" i="13" s="1"/>
  <c r="M29" i="13"/>
  <c r="L29" i="13"/>
  <c r="K29" i="13"/>
  <c r="J29" i="13"/>
  <c r="P29" i="13" s="1"/>
  <c r="I29" i="13"/>
  <c r="H29" i="13"/>
  <c r="G29" i="13"/>
  <c r="F29" i="13"/>
  <c r="E29" i="13"/>
  <c r="D29" i="13"/>
  <c r="O29" i="13" s="1"/>
  <c r="M28" i="13"/>
  <c r="L28" i="13"/>
  <c r="K28" i="13"/>
  <c r="J28" i="13"/>
  <c r="P28" i="13" s="1"/>
  <c r="I28" i="13"/>
  <c r="H28" i="13"/>
  <c r="G28" i="13"/>
  <c r="F28" i="13"/>
  <c r="E28" i="13"/>
  <c r="D28" i="13"/>
  <c r="O28" i="13" s="1"/>
  <c r="M27" i="13"/>
  <c r="L27" i="13"/>
  <c r="K27" i="13"/>
  <c r="J27" i="13"/>
  <c r="P27" i="13" s="1"/>
  <c r="I27" i="13"/>
  <c r="H27" i="13"/>
  <c r="G27" i="13"/>
  <c r="F27" i="13"/>
  <c r="D27" i="13"/>
  <c r="O27" i="13" s="1"/>
  <c r="M26" i="13"/>
  <c r="L26" i="13"/>
  <c r="K26" i="13"/>
  <c r="J26" i="13"/>
  <c r="P26" i="13" s="1"/>
  <c r="I26" i="13"/>
  <c r="H26" i="13"/>
  <c r="G26" i="13"/>
  <c r="F26" i="13"/>
  <c r="E26" i="13"/>
  <c r="D26" i="13"/>
  <c r="M25" i="13"/>
  <c r="L25" i="13"/>
  <c r="K25" i="13"/>
  <c r="J25" i="13"/>
  <c r="P25" i="13" s="1"/>
  <c r="I25" i="13"/>
  <c r="H25" i="13"/>
  <c r="G25" i="13"/>
  <c r="F25" i="13"/>
  <c r="E25" i="13"/>
  <c r="D25" i="13"/>
  <c r="O25" i="13" s="1"/>
  <c r="M24" i="13"/>
  <c r="L24" i="13"/>
  <c r="K24" i="13"/>
  <c r="J24" i="13"/>
  <c r="P24" i="13" s="1"/>
  <c r="I24" i="13"/>
  <c r="H24" i="13"/>
  <c r="G24" i="13"/>
  <c r="F24" i="13"/>
  <c r="E24" i="13"/>
  <c r="D24" i="13"/>
  <c r="O24" i="13" s="1"/>
  <c r="M23" i="13"/>
  <c r="L23" i="13"/>
  <c r="K23" i="13"/>
  <c r="J23" i="13"/>
  <c r="P23" i="13" s="1"/>
  <c r="I23" i="13"/>
  <c r="H23" i="13"/>
  <c r="G23" i="13"/>
  <c r="F23" i="13"/>
  <c r="E23" i="13"/>
  <c r="D23" i="13"/>
  <c r="O23" i="13" s="1"/>
  <c r="M21" i="13"/>
  <c r="L21" i="13"/>
  <c r="K21" i="13"/>
  <c r="J21" i="13"/>
  <c r="P21" i="13" s="1"/>
  <c r="I21" i="13"/>
  <c r="H21" i="13"/>
  <c r="G21" i="13"/>
  <c r="F21" i="13"/>
  <c r="E21" i="13"/>
  <c r="D21" i="13"/>
  <c r="O21" i="13" s="1"/>
  <c r="M17" i="13"/>
  <c r="L17" i="13"/>
  <c r="K17" i="13"/>
  <c r="J17" i="13"/>
  <c r="P17" i="13" s="1"/>
  <c r="I17" i="13"/>
  <c r="H17" i="13"/>
  <c r="G17" i="13"/>
  <c r="F17" i="13"/>
  <c r="E17" i="13"/>
  <c r="D17" i="13"/>
  <c r="O17" i="13" s="1"/>
  <c r="M8" i="13"/>
  <c r="L8" i="13"/>
  <c r="K8" i="13"/>
  <c r="J8" i="13"/>
  <c r="P8" i="13" s="1"/>
  <c r="I8" i="13"/>
  <c r="H8" i="13"/>
  <c r="G8" i="13"/>
  <c r="F8" i="13"/>
  <c r="E8" i="13"/>
  <c r="D8" i="13"/>
  <c r="O8" i="13" s="1"/>
  <c r="L142" i="13"/>
  <c r="N139" i="13"/>
  <c r="M139" i="13"/>
  <c r="L139" i="13"/>
  <c r="B115" i="13"/>
  <c r="S90" i="13" s="1"/>
  <c r="F115" i="13" s="1"/>
  <c r="B153" i="13" s="1"/>
  <c r="F77" i="13"/>
  <c r="A77" i="13"/>
  <c r="K63" i="13"/>
  <c r="F63" i="13"/>
  <c r="B63" i="13"/>
  <c r="A51" i="13"/>
  <c r="A50" i="13"/>
  <c r="K49" i="13"/>
  <c r="A49" i="13"/>
  <c r="P42" i="13"/>
  <c r="O42" i="13"/>
  <c r="P41" i="13"/>
  <c r="O41" i="13"/>
  <c r="P40" i="13"/>
  <c r="O40" i="13"/>
  <c r="P39" i="13"/>
  <c r="O39" i="13"/>
  <c r="P22" i="13"/>
  <c r="O22" i="13"/>
  <c r="P20" i="13"/>
  <c r="O20" i="13"/>
  <c r="P19" i="13"/>
  <c r="O19" i="13"/>
  <c r="P18" i="13"/>
  <c r="O18" i="13"/>
  <c r="P16" i="13"/>
  <c r="O16" i="13"/>
  <c r="P15" i="13"/>
  <c r="O15" i="13"/>
  <c r="P14" i="13"/>
  <c r="O14" i="13"/>
  <c r="P13" i="13"/>
  <c r="O13" i="13"/>
  <c r="P12" i="13"/>
  <c r="O12" i="13"/>
  <c r="P11" i="13"/>
  <c r="O11" i="13"/>
  <c r="P10" i="13"/>
  <c r="O10" i="13"/>
  <c r="P9" i="13"/>
  <c r="O9" i="13"/>
  <c r="P7" i="13"/>
  <c r="O7" i="13"/>
  <c r="P6" i="13"/>
  <c r="O6" i="13"/>
  <c r="P5" i="13"/>
  <c r="O5" i="13"/>
  <c r="P4" i="13"/>
  <c r="O4" i="13"/>
  <c r="P3" i="13"/>
  <c r="O3" i="13"/>
  <c r="P2" i="13"/>
  <c r="O2" i="13"/>
  <c r="P43" i="13"/>
  <c r="P90" i="13" s="1"/>
  <c r="P153" i="13" s="1"/>
  <c r="F143" i="12"/>
  <c r="E143" i="12"/>
  <c r="D143" i="12"/>
  <c r="C143" i="12"/>
  <c r="F142" i="12"/>
  <c r="E142" i="12"/>
  <c r="N141" i="12" s="1"/>
  <c r="D142" i="12"/>
  <c r="M141" i="12" s="1"/>
  <c r="C142" i="12"/>
  <c r="L141" i="12" s="1"/>
  <c r="F141" i="12"/>
  <c r="E141" i="12"/>
  <c r="N140" i="12" s="1"/>
  <c r="D141" i="12"/>
  <c r="M140" i="12" s="1"/>
  <c r="C141" i="12"/>
  <c r="L140" i="12" s="1"/>
  <c r="F140" i="12"/>
  <c r="E140" i="12"/>
  <c r="D140" i="12"/>
  <c r="C140" i="12"/>
  <c r="F139" i="12"/>
  <c r="E139" i="12"/>
  <c r="D139" i="12"/>
  <c r="C139" i="12"/>
  <c r="F136" i="12"/>
  <c r="E136" i="12"/>
  <c r="D136" i="12"/>
  <c r="C136" i="12"/>
  <c r="F135" i="12"/>
  <c r="E135" i="12"/>
  <c r="D135" i="12"/>
  <c r="C135" i="12"/>
  <c r="F134" i="12"/>
  <c r="E134" i="12"/>
  <c r="D134" i="12"/>
  <c r="C134" i="12"/>
  <c r="F133" i="12"/>
  <c r="E133" i="12"/>
  <c r="D133" i="12"/>
  <c r="C133" i="12"/>
  <c r="F131" i="12"/>
  <c r="E131" i="12"/>
  <c r="D131" i="12"/>
  <c r="C131" i="12"/>
  <c r="F127" i="12"/>
  <c r="E127" i="12"/>
  <c r="D127" i="12"/>
  <c r="C127" i="12"/>
  <c r="K42" i="12"/>
  <c r="J42" i="12"/>
  <c r="I42" i="12"/>
  <c r="G42" i="12"/>
  <c r="F42" i="12"/>
  <c r="E42" i="12"/>
  <c r="D42" i="12"/>
  <c r="J41" i="12"/>
  <c r="I41" i="12"/>
  <c r="F41" i="12"/>
  <c r="F40" i="12"/>
  <c r="D40" i="12"/>
  <c r="K39" i="12"/>
  <c r="I39" i="12"/>
  <c r="G39" i="12"/>
  <c r="F39" i="12"/>
  <c r="E39" i="12"/>
  <c r="D39" i="12"/>
  <c r="M38" i="12"/>
  <c r="L38" i="12"/>
  <c r="K38" i="12"/>
  <c r="J38" i="12"/>
  <c r="P38" i="12" s="1"/>
  <c r="I38" i="12"/>
  <c r="H38" i="12"/>
  <c r="G38" i="12"/>
  <c r="F38" i="12"/>
  <c r="E38" i="12"/>
  <c r="D38" i="12"/>
  <c r="O38" i="12" s="1"/>
  <c r="M37" i="12"/>
  <c r="L37" i="12"/>
  <c r="K37" i="12"/>
  <c r="J37" i="12"/>
  <c r="P37" i="12" s="1"/>
  <c r="I37" i="12"/>
  <c r="H37" i="12"/>
  <c r="G37" i="12"/>
  <c r="F37" i="12"/>
  <c r="E37" i="12"/>
  <c r="D37" i="12"/>
  <c r="O37" i="12" s="1"/>
  <c r="M36" i="12"/>
  <c r="L36" i="12"/>
  <c r="K36" i="12"/>
  <c r="J36" i="12"/>
  <c r="P36" i="12" s="1"/>
  <c r="I36" i="12"/>
  <c r="H36" i="12"/>
  <c r="G36" i="12"/>
  <c r="F36" i="12"/>
  <c r="E36" i="12"/>
  <c r="D36" i="12"/>
  <c r="O36" i="12" s="1"/>
  <c r="M35" i="12"/>
  <c r="L35" i="12"/>
  <c r="K35" i="12"/>
  <c r="J35" i="12"/>
  <c r="P35" i="12" s="1"/>
  <c r="I35" i="12"/>
  <c r="H35" i="12"/>
  <c r="G35" i="12"/>
  <c r="F35" i="12"/>
  <c r="E35" i="12"/>
  <c r="D35" i="12"/>
  <c r="O35" i="12" s="1"/>
  <c r="M34" i="12"/>
  <c r="L34" i="12"/>
  <c r="K34" i="12"/>
  <c r="J34" i="12"/>
  <c r="P34" i="12" s="1"/>
  <c r="I34" i="12"/>
  <c r="H34" i="12"/>
  <c r="G34" i="12"/>
  <c r="F34" i="12"/>
  <c r="E34" i="12"/>
  <c r="D34" i="12"/>
  <c r="O34" i="12" s="1"/>
  <c r="M33" i="12"/>
  <c r="L33" i="12"/>
  <c r="J33" i="12"/>
  <c r="P33" i="12" s="1"/>
  <c r="I33" i="12"/>
  <c r="H33" i="12"/>
  <c r="G33" i="12"/>
  <c r="F33" i="12"/>
  <c r="E33" i="12"/>
  <c r="D33" i="12"/>
  <c r="O33" i="12" s="1"/>
  <c r="M32" i="12"/>
  <c r="L32" i="12"/>
  <c r="K32" i="12"/>
  <c r="J32" i="12"/>
  <c r="P32" i="12" s="1"/>
  <c r="I32" i="12"/>
  <c r="H32" i="12"/>
  <c r="G32" i="12"/>
  <c r="F32" i="12"/>
  <c r="E32" i="12"/>
  <c r="D32" i="12"/>
  <c r="O32" i="12" s="1"/>
  <c r="M31" i="12"/>
  <c r="L31" i="12"/>
  <c r="K31" i="12"/>
  <c r="J31" i="12"/>
  <c r="P31" i="12" s="1"/>
  <c r="I31" i="12"/>
  <c r="H31" i="12"/>
  <c r="G31" i="12"/>
  <c r="F31" i="12"/>
  <c r="E31" i="12"/>
  <c r="D31" i="12"/>
  <c r="O31" i="12" s="1"/>
  <c r="M30" i="12"/>
  <c r="L30" i="12"/>
  <c r="K30" i="12"/>
  <c r="J30" i="12"/>
  <c r="P30" i="12" s="1"/>
  <c r="I30" i="12"/>
  <c r="H30" i="12"/>
  <c r="G30" i="12"/>
  <c r="F30" i="12"/>
  <c r="E30" i="12"/>
  <c r="D30" i="12"/>
  <c r="O30" i="12" s="1"/>
  <c r="L29" i="12"/>
  <c r="J29" i="12"/>
  <c r="I29" i="12"/>
  <c r="H29" i="12"/>
  <c r="G29" i="12"/>
  <c r="F29" i="12"/>
  <c r="E29" i="12"/>
  <c r="D29" i="12"/>
  <c r="M28" i="12"/>
  <c r="L28" i="12"/>
  <c r="K28" i="12"/>
  <c r="J28" i="12"/>
  <c r="P28" i="12" s="1"/>
  <c r="I28" i="12"/>
  <c r="H28" i="12"/>
  <c r="G28" i="12"/>
  <c r="F28" i="12"/>
  <c r="E28" i="12"/>
  <c r="D28" i="12"/>
  <c r="O28" i="12" s="1"/>
  <c r="M27" i="12"/>
  <c r="L27" i="12"/>
  <c r="K27" i="12"/>
  <c r="J27" i="12"/>
  <c r="P27" i="12" s="1"/>
  <c r="I27" i="12"/>
  <c r="H27" i="12"/>
  <c r="G27" i="12"/>
  <c r="F27" i="12"/>
  <c r="E27" i="12"/>
  <c r="D27" i="12"/>
  <c r="M26" i="12"/>
  <c r="L26" i="12"/>
  <c r="K26" i="12"/>
  <c r="J26" i="12"/>
  <c r="P26" i="12" s="1"/>
  <c r="I26" i="12"/>
  <c r="H26" i="12"/>
  <c r="G26" i="12"/>
  <c r="F26" i="12"/>
  <c r="E26" i="12"/>
  <c r="D26" i="12"/>
  <c r="O26" i="12" s="1"/>
  <c r="M25" i="12"/>
  <c r="L25" i="12"/>
  <c r="K25" i="12"/>
  <c r="J25" i="12"/>
  <c r="P25" i="12" s="1"/>
  <c r="I25" i="12"/>
  <c r="H25" i="12"/>
  <c r="G25" i="12"/>
  <c r="F25" i="12"/>
  <c r="E25" i="12"/>
  <c r="D25" i="12"/>
  <c r="O25" i="12" s="1"/>
  <c r="M24" i="12"/>
  <c r="L24" i="12"/>
  <c r="K24" i="12"/>
  <c r="J24" i="12"/>
  <c r="P24" i="12" s="1"/>
  <c r="I24" i="12"/>
  <c r="H24" i="12"/>
  <c r="G24" i="12"/>
  <c r="F24" i="12"/>
  <c r="E24" i="12"/>
  <c r="D24" i="12"/>
  <c r="O24" i="12" s="1"/>
  <c r="M23" i="12"/>
  <c r="L23" i="12"/>
  <c r="K23" i="12"/>
  <c r="J23" i="12"/>
  <c r="P23" i="12" s="1"/>
  <c r="I23" i="12"/>
  <c r="H23" i="12"/>
  <c r="G23" i="12"/>
  <c r="F23" i="12"/>
  <c r="E23" i="12"/>
  <c r="D23" i="12"/>
  <c r="O23" i="12" s="1"/>
  <c r="M21" i="12"/>
  <c r="L21" i="12"/>
  <c r="K21" i="12"/>
  <c r="J21" i="12"/>
  <c r="P21" i="12" s="1"/>
  <c r="I21" i="12"/>
  <c r="H21" i="12"/>
  <c r="G21" i="12"/>
  <c r="F21" i="12"/>
  <c r="E21" i="12"/>
  <c r="D21" i="12"/>
  <c r="O21" i="12" s="1"/>
  <c r="M17" i="12"/>
  <c r="L17" i="12"/>
  <c r="K17" i="12"/>
  <c r="J17" i="12"/>
  <c r="P17" i="12" s="1"/>
  <c r="I17" i="12"/>
  <c r="H17" i="12"/>
  <c r="G17" i="12"/>
  <c r="F17" i="12"/>
  <c r="E17" i="12"/>
  <c r="D17" i="12"/>
  <c r="O17" i="12" s="1"/>
  <c r="M8" i="12"/>
  <c r="L8" i="12"/>
  <c r="K8" i="12"/>
  <c r="J8" i="12"/>
  <c r="P8" i="12" s="1"/>
  <c r="I8" i="12"/>
  <c r="H8" i="12"/>
  <c r="G8" i="12"/>
  <c r="F8" i="12"/>
  <c r="E8" i="12"/>
  <c r="D8" i="12"/>
  <c r="O8" i="12" s="1"/>
  <c r="N142" i="12"/>
  <c r="M142" i="12"/>
  <c r="L142" i="12"/>
  <c r="N139" i="12"/>
  <c r="M139" i="12"/>
  <c r="L139" i="12"/>
  <c r="B115" i="12"/>
  <c r="S90" i="12" s="1"/>
  <c r="F115" i="12" s="1"/>
  <c r="B153" i="12" s="1"/>
  <c r="F77" i="12"/>
  <c r="A77" i="12"/>
  <c r="K63" i="12"/>
  <c r="F63" i="12"/>
  <c r="B63" i="12"/>
  <c r="A51" i="12"/>
  <c r="A50" i="12"/>
  <c r="K49" i="12"/>
  <c r="A49" i="12"/>
  <c r="P42" i="12"/>
  <c r="O42" i="12"/>
  <c r="P41" i="12"/>
  <c r="O41" i="12"/>
  <c r="P40" i="12"/>
  <c r="O40" i="12"/>
  <c r="P39" i="12"/>
  <c r="O39" i="12"/>
  <c r="P29" i="12"/>
  <c r="O29" i="12"/>
  <c r="P22" i="12"/>
  <c r="O22" i="12"/>
  <c r="P20" i="12"/>
  <c r="O20" i="12"/>
  <c r="P19" i="12"/>
  <c r="O19" i="12"/>
  <c r="P18" i="12"/>
  <c r="O18" i="12"/>
  <c r="P16" i="12"/>
  <c r="O16" i="12"/>
  <c r="P15" i="12"/>
  <c r="O15" i="12"/>
  <c r="P14" i="12"/>
  <c r="O14" i="12"/>
  <c r="P13" i="12"/>
  <c r="O13" i="12"/>
  <c r="P12" i="12"/>
  <c r="O12" i="12"/>
  <c r="P11" i="12"/>
  <c r="O11" i="12"/>
  <c r="P10" i="12"/>
  <c r="O10" i="12"/>
  <c r="P9" i="12"/>
  <c r="O9" i="12"/>
  <c r="P7" i="12"/>
  <c r="O7" i="12"/>
  <c r="P6" i="12"/>
  <c r="O6" i="12"/>
  <c r="P5" i="12"/>
  <c r="O5" i="12"/>
  <c r="P4" i="12"/>
  <c r="O4" i="12"/>
  <c r="P3" i="12"/>
  <c r="O3" i="12"/>
  <c r="P2" i="12"/>
  <c r="O2" i="12"/>
  <c r="P43" i="12"/>
  <c r="P90" i="12" s="1"/>
  <c r="P153" i="12" s="1"/>
  <c r="F143" i="11"/>
  <c r="E143" i="11"/>
  <c r="N142" i="11" s="1"/>
  <c r="D143" i="11"/>
  <c r="M142" i="11" s="1"/>
  <c r="C143" i="11"/>
  <c r="L142" i="11" s="1"/>
  <c r="F142" i="11"/>
  <c r="E142" i="11"/>
  <c r="N141" i="11" s="1"/>
  <c r="D142" i="11"/>
  <c r="M141" i="11" s="1"/>
  <c r="C142" i="11"/>
  <c r="L141" i="11" s="1"/>
  <c r="F141" i="11"/>
  <c r="E141" i="11"/>
  <c r="N140" i="11" s="1"/>
  <c r="D141" i="11"/>
  <c r="M140" i="11" s="1"/>
  <c r="C141" i="11"/>
  <c r="L140" i="11" s="1"/>
  <c r="F140" i="11"/>
  <c r="E140" i="11"/>
  <c r="D140" i="11"/>
  <c r="C140" i="11"/>
  <c r="F139" i="11"/>
  <c r="E139" i="11"/>
  <c r="D139" i="11"/>
  <c r="C139" i="11"/>
  <c r="F136" i="11"/>
  <c r="E136" i="11"/>
  <c r="D136" i="11"/>
  <c r="C136" i="11"/>
  <c r="F135" i="11"/>
  <c r="E135" i="11"/>
  <c r="D135" i="11"/>
  <c r="C135" i="11"/>
  <c r="F134" i="11"/>
  <c r="E134" i="11"/>
  <c r="D134" i="11"/>
  <c r="C134" i="11"/>
  <c r="F133" i="11"/>
  <c r="E133" i="11"/>
  <c r="D133" i="11"/>
  <c r="C133" i="11"/>
  <c r="F131" i="11"/>
  <c r="E131" i="11"/>
  <c r="D131" i="11"/>
  <c r="C131" i="11"/>
  <c r="F127" i="11"/>
  <c r="E127" i="11"/>
  <c r="D127" i="11"/>
  <c r="C127" i="11"/>
  <c r="L42" i="11"/>
  <c r="K42" i="11"/>
  <c r="J42" i="11"/>
  <c r="I42" i="11"/>
  <c r="H42" i="11"/>
  <c r="G42" i="11"/>
  <c r="F42" i="11"/>
  <c r="E42" i="11"/>
  <c r="D42" i="11"/>
  <c r="L41" i="11"/>
  <c r="K41" i="11"/>
  <c r="J41" i="11"/>
  <c r="I41" i="11"/>
  <c r="H41" i="11"/>
  <c r="G41" i="11"/>
  <c r="F41" i="11"/>
  <c r="E41" i="11"/>
  <c r="D41" i="11"/>
  <c r="L40" i="11"/>
  <c r="K40" i="11"/>
  <c r="J40" i="11"/>
  <c r="I40" i="11"/>
  <c r="H40" i="11"/>
  <c r="G40" i="11"/>
  <c r="F40" i="11"/>
  <c r="E40" i="11"/>
  <c r="L39" i="11"/>
  <c r="K39" i="11"/>
  <c r="J39" i="11"/>
  <c r="I39" i="11"/>
  <c r="H39" i="11"/>
  <c r="G39" i="11"/>
  <c r="F39" i="11"/>
  <c r="E39" i="11"/>
  <c r="D39" i="11"/>
  <c r="M38" i="11"/>
  <c r="L38" i="11"/>
  <c r="K38" i="11"/>
  <c r="J38" i="11"/>
  <c r="P38" i="11" s="1"/>
  <c r="I38" i="11"/>
  <c r="H38" i="11"/>
  <c r="G38" i="11"/>
  <c r="F38" i="11"/>
  <c r="E38" i="11"/>
  <c r="D38" i="11"/>
  <c r="O38" i="11" s="1"/>
  <c r="M37" i="11"/>
  <c r="L37" i="11"/>
  <c r="K37" i="11"/>
  <c r="J37" i="11"/>
  <c r="P37" i="11" s="1"/>
  <c r="I37" i="11"/>
  <c r="H37" i="11"/>
  <c r="G37" i="11"/>
  <c r="F37" i="11"/>
  <c r="E37" i="11"/>
  <c r="D37" i="11"/>
  <c r="O37" i="11" s="1"/>
  <c r="M36" i="11"/>
  <c r="L36" i="11"/>
  <c r="K36" i="11"/>
  <c r="J36" i="11"/>
  <c r="P36" i="11" s="1"/>
  <c r="I36" i="11"/>
  <c r="H36" i="11"/>
  <c r="G36" i="11"/>
  <c r="F36" i="11"/>
  <c r="E36" i="11"/>
  <c r="D36" i="11"/>
  <c r="O36" i="11" s="1"/>
  <c r="M35" i="11"/>
  <c r="L35" i="11"/>
  <c r="K35" i="11"/>
  <c r="J35" i="11"/>
  <c r="P35" i="11" s="1"/>
  <c r="I35" i="11"/>
  <c r="H35" i="11"/>
  <c r="G35" i="11"/>
  <c r="F35" i="11"/>
  <c r="E35" i="11"/>
  <c r="D35" i="11"/>
  <c r="O35" i="11" s="1"/>
  <c r="M34" i="11"/>
  <c r="L34" i="11"/>
  <c r="K34" i="11"/>
  <c r="J34" i="11"/>
  <c r="P34" i="11" s="1"/>
  <c r="I34" i="11"/>
  <c r="H34" i="11"/>
  <c r="G34" i="11"/>
  <c r="F34" i="11"/>
  <c r="E34" i="11"/>
  <c r="D34" i="11"/>
  <c r="O34" i="11" s="1"/>
  <c r="M33" i="11"/>
  <c r="L33" i="11"/>
  <c r="K33" i="11"/>
  <c r="J33" i="11"/>
  <c r="P33" i="11" s="1"/>
  <c r="I33" i="11"/>
  <c r="H33" i="11"/>
  <c r="G33" i="11"/>
  <c r="F33" i="11"/>
  <c r="E33" i="11"/>
  <c r="D33" i="11"/>
  <c r="O33" i="11" s="1"/>
  <c r="M32" i="11"/>
  <c r="L32" i="11"/>
  <c r="K32" i="11"/>
  <c r="J32" i="11"/>
  <c r="P32" i="11" s="1"/>
  <c r="I32" i="11"/>
  <c r="H32" i="11"/>
  <c r="G32" i="11"/>
  <c r="F32" i="11"/>
  <c r="E32" i="11"/>
  <c r="D32" i="11"/>
  <c r="O32" i="11" s="1"/>
  <c r="M31" i="11"/>
  <c r="L31" i="11"/>
  <c r="K31" i="11"/>
  <c r="J31" i="11"/>
  <c r="P31" i="11" s="1"/>
  <c r="I31" i="11"/>
  <c r="H31" i="11"/>
  <c r="G31" i="11"/>
  <c r="F31" i="11"/>
  <c r="E31" i="11"/>
  <c r="D31" i="11"/>
  <c r="O31" i="11" s="1"/>
  <c r="M30" i="11"/>
  <c r="L30" i="11"/>
  <c r="K30" i="11"/>
  <c r="J30" i="11"/>
  <c r="P30" i="11" s="1"/>
  <c r="I30" i="11"/>
  <c r="H30" i="11"/>
  <c r="G30" i="11"/>
  <c r="F30" i="11"/>
  <c r="E30" i="11"/>
  <c r="D30" i="11"/>
  <c r="O30" i="11" s="1"/>
  <c r="M29" i="11"/>
  <c r="L29" i="11"/>
  <c r="K29" i="11"/>
  <c r="J29" i="11"/>
  <c r="P29" i="11" s="1"/>
  <c r="I29" i="11"/>
  <c r="H29" i="11"/>
  <c r="G29" i="11"/>
  <c r="F29" i="11"/>
  <c r="E29" i="11"/>
  <c r="D29" i="11"/>
  <c r="O29" i="11" s="1"/>
  <c r="M28" i="11"/>
  <c r="L28" i="11"/>
  <c r="K28" i="11"/>
  <c r="J28" i="11"/>
  <c r="P28" i="11" s="1"/>
  <c r="I28" i="11"/>
  <c r="H28" i="11"/>
  <c r="G28" i="11"/>
  <c r="F28" i="11"/>
  <c r="E28" i="11"/>
  <c r="D28" i="11"/>
  <c r="O28" i="11" s="1"/>
  <c r="M27" i="11"/>
  <c r="L27" i="11"/>
  <c r="K27" i="11"/>
  <c r="J27" i="11"/>
  <c r="P27" i="11" s="1"/>
  <c r="I27" i="11"/>
  <c r="H27" i="11"/>
  <c r="G27" i="11"/>
  <c r="F27" i="11"/>
  <c r="E27" i="11"/>
  <c r="D27" i="11"/>
  <c r="O27" i="11" s="1"/>
  <c r="M26" i="11"/>
  <c r="L26" i="11"/>
  <c r="K26" i="11"/>
  <c r="J26" i="11"/>
  <c r="P26" i="11" s="1"/>
  <c r="I26" i="11"/>
  <c r="H26" i="11"/>
  <c r="G26" i="11"/>
  <c r="F26" i="11"/>
  <c r="E26" i="11"/>
  <c r="D26" i="11"/>
  <c r="O26" i="11" s="1"/>
  <c r="M25" i="11"/>
  <c r="L25" i="11"/>
  <c r="K25" i="11"/>
  <c r="J25" i="11"/>
  <c r="P25" i="11" s="1"/>
  <c r="I25" i="11"/>
  <c r="H25" i="11"/>
  <c r="G25" i="11"/>
  <c r="F25" i="11"/>
  <c r="E25" i="11"/>
  <c r="D25" i="11"/>
  <c r="O25" i="11" s="1"/>
  <c r="M24" i="11"/>
  <c r="L24" i="11"/>
  <c r="K24" i="11"/>
  <c r="J24" i="11"/>
  <c r="P24" i="11" s="1"/>
  <c r="I24" i="11"/>
  <c r="H24" i="11"/>
  <c r="G24" i="11"/>
  <c r="F24" i="11"/>
  <c r="E24" i="11"/>
  <c r="D24" i="11"/>
  <c r="O24" i="11" s="1"/>
  <c r="M23" i="11"/>
  <c r="L23" i="11"/>
  <c r="K23" i="11"/>
  <c r="J23" i="11"/>
  <c r="P23" i="11" s="1"/>
  <c r="I23" i="11"/>
  <c r="H23" i="11"/>
  <c r="G23" i="11"/>
  <c r="F23" i="11"/>
  <c r="E23" i="11"/>
  <c r="D23" i="11"/>
  <c r="O23" i="11" s="1"/>
  <c r="M21" i="11"/>
  <c r="L21" i="11"/>
  <c r="K21" i="11"/>
  <c r="J21" i="11"/>
  <c r="P21" i="11" s="1"/>
  <c r="I21" i="11"/>
  <c r="H21" i="11"/>
  <c r="G21" i="11"/>
  <c r="F21" i="11"/>
  <c r="E21" i="11"/>
  <c r="D21" i="11"/>
  <c r="O21" i="11" s="1"/>
  <c r="M17" i="11"/>
  <c r="L17" i="11"/>
  <c r="K17" i="11"/>
  <c r="J17" i="11"/>
  <c r="P17" i="11" s="1"/>
  <c r="I17" i="11"/>
  <c r="H17" i="11"/>
  <c r="G17" i="11"/>
  <c r="F17" i="11"/>
  <c r="E17" i="11"/>
  <c r="D17" i="11"/>
  <c r="O17" i="11" s="1"/>
  <c r="M8" i="11"/>
  <c r="L8" i="11"/>
  <c r="K8" i="11"/>
  <c r="J8" i="11"/>
  <c r="P8" i="11" s="1"/>
  <c r="I8" i="11"/>
  <c r="H8" i="11"/>
  <c r="G8" i="11"/>
  <c r="F8" i="11"/>
  <c r="E8" i="11"/>
  <c r="D8" i="11"/>
  <c r="O8" i="11" s="1"/>
  <c r="N139" i="11"/>
  <c r="M139" i="11"/>
  <c r="L139" i="11"/>
  <c r="B115" i="11"/>
  <c r="B90" i="11" s="1"/>
  <c r="B43" i="11" s="1"/>
  <c r="F77" i="11"/>
  <c r="A77" i="11"/>
  <c r="K63" i="11"/>
  <c r="F63" i="11"/>
  <c r="B63" i="11"/>
  <c r="A51" i="11"/>
  <c r="A50" i="11"/>
  <c r="K49" i="11"/>
  <c r="A49" i="11"/>
  <c r="P42" i="11"/>
  <c r="O42" i="11"/>
  <c r="P41" i="11"/>
  <c r="O41" i="11"/>
  <c r="P40" i="11"/>
  <c r="O40" i="11"/>
  <c r="P39" i="11"/>
  <c r="O39" i="11"/>
  <c r="P22" i="11"/>
  <c r="O22" i="11"/>
  <c r="P20" i="11"/>
  <c r="O20" i="11"/>
  <c r="P19" i="11"/>
  <c r="O19" i="11"/>
  <c r="P18" i="11"/>
  <c r="O18" i="11"/>
  <c r="P16" i="11"/>
  <c r="O16" i="11"/>
  <c r="P15" i="11"/>
  <c r="O15" i="11"/>
  <c r="P14" i="11"/>
  <c r="O14" i="11"/>
  <c r="P13" i="11"/>
  <c r="O13" i="11"/>
  <c r="P12" i="11"/>
  <c r="O12" i="11"/>
  <c r="P11" i="11"/>
  <c r="O11" i="11"/>
  <c r="P10" i="11"/>
  <c r="O10" i="11"/>
  <c r="P9" i="11"/>
  <c r="O9" i="11"/>
  <c r="P7" i="11"/>
  <c r="O7" i="11"/>
  <c r="P6" i="11"/>
  <c r="O6" i="11"/>
  <c r="P5" i="11"/>
  <c r="O5" i="11"/>
  <c r="P4" i="11"/>
  <c r="O4" i="11"/>
  <c r="P3" i="11"/>
  <c r="O3" i="11"/>
  <c r="P2" i="11"/>
  <c r="O2" i="11"/>
  <c r="P43" i="11"/>
  <c r="P90" i="11" s="1"/>
  <c r="P153" i="11" s="1"/>
  <c r="F143" i="9"/>
  <c r="E143" i="9"/>
  <c r="N142" i="9" s="1"/>
  <c r="D143" i="9"/>
  <c r="M142" i="9" s="1"/>
  <c r="C143" i="9"/>
  <c r="L142" i="9" s="1"/>
  <c r="F142" i="9"/>
  <c r="E142" i="9"/>
  <c r="N141" i="9" s="1"/>
  <c r="D142" i="9"/>
  <c r="M141" i="9" s="1"/>
  <c r="C142" i="9"/>
  <c r="L141" i="9" s="1"/>
  <c r="F141" i="9"/>
  <c r="E141" i="9"/>
  <c r="N140" i="9" s="1"/>
  <c r="D141" i="9"/>
  <c r="M140" i="9" s="1"/>
  <c r="C141" i="9"/>
  <c r="L140" i="9" s="1"/>
  <c r="F140" i="9"/>
  <c r="E140" i="9"/>
  <c r="D140" i="9"/>
  <c r="C140" i="9"/>
  <c r="F139" i="9"/>
  <c r="E139" i="9"/>
  <c r="D139" i="9"/>
  <c r="C139" i="9"/>
  <c r="F136" i="9"/>
  <c r="E136" i="9"/>
  <c r="D136" i="9"/>
  <c r="C136" i="9"/>
  <c r="F135" i="9"/>
  <c r="E135" i="9"/>
  <c r="D135" i="9"/>
  <c r="C135" i="9"/>
  <c r="F134" i="9"/>
  <c r="E134" i="9"/>
  <c r="D134" i="9"/>
  <c r="C134" i="9"/>
  <c r="F133" i="9"/>
  <c r="E133" i="9"/>
  <c r="D133" i="9"/>
  <c r="C133" i="9"/>
  <c r="F131" i="9"/>
  <c r="E131" i="9"/>
  <c r="D131" i="9"/>
  <c r="C131" i="9"/>
  <c r="F127" i="9"/>
  <c r="E127" i="9"/>
  <c r="D127" i="9"/>
  <c r="C127" i="9"/>
  <c r="M42" i="9"/>
  <c r="L42" i="9"/>
  <c r="K42" i="9"/>
  <c r="J42" i="9"/>
  <c r="I42" i="9"/>
  <c r="H42" i="9"/>
  <c r="G42" i="9"/>
  <c r="F42" i="9"/>
  <c r="E42" i="9"/>
  <c r="D42" i="9"/>
  <c r="M41" i="9"/>
  <c r="L41" i="9"/>
  <c r="K41" i="9"/>
  <c r="J41" i="9"/>
  <c r="H41" i="9"/>
  <c r="G41" i="9"/>
  <c r="F41" i="9"/>
  <c r="L40" i="9"/>
  <c r="K40" i="9"/>
  <c r="J40" i="9"/>
  <c r="I40" i="9"/>
  <c r="H40" i="9"/>
  <c r="G40" i="9"/>
  <c r="F40" i="9"/>
  <c r="M39" i="9"/>
  <c r="L39" i="9"/>
  <c r="K39" i="9"/>
  <c r="J39" i="9"/>
  <c r="I39" i="9"/>
  <c r="H39" i="9"/>
  <c r="G39" i="9"/>
  <c r="F39" i="9"/>
  <c r="E39" i="9"/>
  <c r="D39" i="9"/>
  <c r="M38" i="9"/>
  <c r="L38" i="9"/>
  <c r="K38" i="9"/>
  <c r="J38" i="9"/>
  <c r="P38" i="9" s="1"/>
  <c r="I38" i="9"/>
  <c r="H38" i="9"/>
  <c r="G38" i="9"/>
  <c r="F38" i="9"/>
  <c r="E38" i="9"/>
  <c r="D38" i="9"/>
  <c r="O38" i="9" s="1"/>
  <c r="M37" i="9"/>
  <c r="L37" i="9"/>
  <c r="K37" i="9"/>
  <c r="J37" i="9"/>
  <c r="P37" i="9" s="1"/>
  <c r="I37" i="9"/>
  <c r="H37" i="9"/>
  <c r="G37" i="9"/>
  <c r="F37" i="9"/>
  <c r="E37" i="9"/>
  <c r="D37" i="9"/>
  <c r="M36" i="9"/>
  <c r="L36" i="9"/>
  <c r="K36" i="9"/>
  <c r="J36" i="9"/>
  <c r="P36" i="9" s="1"/>
  <c r="I36" i="9"/>
  <c r="H36" i="9"/>
  <c r="G36" i="9"/>
  <c r="F36" i="9"/>
  <c r="E36" i="9"/>
  <c r="D36" i="9"/>
  <c r="O36" i="9" s="1"/>
  <c r="M35" i="9"/>
  <c r="L35" i="9"/>
  <c r="K35" i="9"/>
  <c r="J35" i="9"/>
  <c r="P35" i="9" s="1"/>
  <c r="I35" i="9"/>
  <c r="H35" i="9"/>
  <c r="G35" i="9"/>
  <c r="F35" i="9"/>
  <c r="E35" i="9"/>
  <c r="D35" i="9"/>
  <c r="O35" i="9" s="1"/>
  <c r="M34" i="9"/>
  <c r="L34" i="9"/>
  <c r="K34" i="9"/>
  <c r="J34" i="9"/>
  <c r="P34" i="9" s="1"/>
  <c r="I34" i="9"/>
  <c r="H34" i="9"/>
  <c r="G34" i="9"/>
  <c r="F34" i="9"/>
  <c r="E34" i="9"/>
  <c r="D34" i="9"/>
  <c r="O34" i="9" s="1"/>
  <c r="M33" i="9"/>
  <c r="L33" i="9"/>
  <c r="K33" i="9"/>
  <c r="J33" i="9"/>
  <c r="P33" i="9" s="1"/>
  <c r="I33" i="9"/>
  <c r="H33" i="9"/>
  <c r="G33" i="9"/>
  <c r="F33" i="9"/>
  <c r="E33" i="9"/>
  <c r="D33" i="9"/>
  <c r="O33" i="9" s="1"/>
  <c r="M32" i="9"/>
  <c r="L32" i="9"/>
  <c r="K32" i="9"/>
  <c r="J32" i="9"/>
  <c r="P32" i="9" s="1"/>
  <c r="I32" i="9"/>
  <c r="H32" i="9"/>
  <c r="G32" i="9"/>
  <c r="F32" i="9"/>
  <c r="E32" i="9"/>
  <c r="D32" i="9"/>
  <c r="O32" i="9" s="1"/>
  <c r="M31" i="9"/>
  <c r="L31" i="9"/>
  <c r="K31" i="9"/>
  <c r="J31" i="9"/>
  <c r="P31" i="9" s="1"/>
  <c r="I31" i="9"/>
  <c r="H31" i="9"/>
  <c r="G31" i="9"/>
  <c r="F31" i="9"/>
  <c r="E31" i="9"/>
  <c r="D31" i="9"/>
  <c r="O31" i="9" s="1"/>
  <c r="M30" i="9"/>
  <c r="L30" i="9"/>
  <c r="K30" i="9"/>
  <c r="J30" i="9"/>
  <c r="P30" i="9" s="1"/>
  <c r="I30" i="9"/>
  <c r="H30" i="9"/>
  <c r="G30" i="9"/>
  <c r="F30" i="9"/>
  <c r="E30" i="9"/>
  <c r="D30" i="9"/>
  <c r="O30" i="9" s="1"/>
  <c r="M29" i="9"/>
  <c r="L29" i="9"/>
  <c r="K29" i="9"/>
  <c r="I29" i="9"/>
  <c r="G29" i="9"/>
  <c r="F29" i="9"/>
  <c r="M28" i="9"/>
  <c r="L28" i="9"/>
  <c r="K28" i="9"/>
  <c r="J28" i="9"/>
  <c r="P28" i="9" s="1"/>
  <c r="I28" i="9"/>
  <c r="H28" i="9"/>
  <c r="G28" i="9"/>
  <c r="F28" i="9"/>
  <c r="E28" i="9"/>
  <c r="D28" i="9"/>
  <c r="O28" i="9" s="1"/>
  <c r="M27" i="9"/>
  <c r="L27" i="9"/>
  <c r="K27" i="9"/>
  <c r="J27" i="9"/>
  <c r="P27" i="9" s="1"/>
  <c r="I27" i="9"/>
  <c r="H27" i="9"/>
  <c r="G27" i="9"/>
  <c r="F27" i="9"/>
  <c r="E27" i="9"/>
  <c r="D27" i="9"/>
  <c r="O27" i="9" s="1"/>
  <c r="M26" i="9"/>
  <c r="L26" i="9"/>
  <c r="K26" i="9"/>
  <c r="J26" i="9"/>
  <c r="P26" i="9" s="1"/>
  <c r="I26" i="9"/>
  <c r="H26" i="9"/>
  <c r="G26" i="9"/>
  <c r="F26" i="9"/>
  <c r="E26" i="9"/>
  <c r="D26" i="9"/>
  <c r="O26" i="9" s="1"/>
  <c r="M25" i="9"/>
  <c r="L25" i="9"/>
  <c r="K25" i="9"/>
  <c r="J25" i="9"/>
  <c r="P25" i="9" s="1"/>
  <c r="I25" i="9"/>
  <c r="H25" i="9"/>
  <c r="G25" i="9"/>
  <c r="F25" i="9"/>
  <c r="E25" i="9"/>
  <c r="D25" i="9"/>
  <c r="O25" i="9" s="1"/>
  <c r="M24" i="9"/>
  <c r="L24" i="9"/>
  <c r="K24" i="9"/>
  <c r="J24" i="9"/>
  <c r="P24" i="9" s="1"/>
  <c r="I24" i="9"/>
  <c r="H24" i="9"/>
  <c r="G24" i="9"/>
  <c r="F24" i="9"/>
  <c r="E24" i="9"/>
  <c r="D24" i="9"/>
  <c r="O24" i="9" s="1"/>
  <c r="M23" i="9"/>
  <c r="L23" i="9"/>
  <c r="K23" i="9"/>
  <c r="J23" i="9"/>
  <c r="P23" i="9" s="1"/>
  <c r="I23" i="9"/>
  <c r="H23" i="9"/>
  <c r="G23" i="9"/>
  <c r="F23" i="9"/>
  <c r="E23" i="9"/>
  <c r="D23" i="9"/>
  <c r="O23" i="9" s="1"/>
  <c r="M21" i="9"/>
  <c r="L21" i="9"/>
  <c r="K21" i="9"/>
  <c r="J21" i="9"/>
  <c r="P21" i="9" s="1"/>
  <c r="I21" i="9"/>
  <c r="H21" i="9"/>
  <c r="G21" i="9"/>
  <c r="F21" i="9"/>
  <c r="E21" i="9"/>
  <c r="D21" i="9"/>
  <c r="O21" i="9" s="1"/>
  <c r="M17" i="9"/>
  <c r="L17" i="9"/>
  <c r="K17" i="9"/>
  <c r="J17" i="9"/>
  <c r="P17" i="9" s="1"/>
  <c r="I17" i="9"/>
  <c r="H17" i="9"/>
  <c r="G17" i="9"/>
  <c r="F17" i="9"/>
  <c r="E17" i="9"/>
  <c r="D17" i="9"/>
  <c r="O17" i="9" s="1"/>
  <c r="M8" i="9"/>
  <c r="L8" i="9"/>
  <c r="K8" i="9"/>
  <c r="J8" i="9"/>
  <c r="P8" i="9" s="1"/>
  <c r="I8" i="9"/>
  <c r="H8" i="9"/>
  <c r="G8" i="9"/>
  <c r="F8" i="9"/>
  <c r="E8" i="9"/>
  <c r="D8" i="9"/>
  <c r="O8" i="9" s="1"/>
  <c r="N139" i="9"/>
  <c r="M139" i="9"/>
  <c r="L139" i="9"/>
  <c r="B115" i="9"/>
  <c r="S90" i="9" s="1"/>
  <c r="F115" i="9" s="1"/>
  <c r="B153" i="9" s="1"/>
  <c r="F77" i="9"/>
  <c r="A77" i="9"/>
  <c r="K63" i="9"/>
  <c r="F63" i="9"/>
  <c r="B63" i="9"/>
  <c r="A51" i="9"/>
  <c r="A50" i="9"/>
  <c r="K49" i="9"/>
  <c r="A49" i="9"/>
  <c r="P42" i="9"/>
  <c r="O42" i="9"/>
  <c r="P41" i="9"/>
  <c r="O41" i="9"/>
  <c r="P40" i="9"/>
  <c r="O40" i="9"/>
  <c r="P39" i="9"/>
  <c r="O39" i="9"/>
  <c r="P29" i="9"/>
  <c r="O29" i="9"/>
  <c r="P22" i="9"/>
  <c r="O22" i="9"/>
  <c r="P20" i="9"/>
  <c r="O20" i="9"/>
  <c r="P19" i="9"/>
  <c r="O19" i="9"/>
  <c r="P18" i="9"/>
  <c r="O18" i="9"/>
  <c r="P16" i="9"/>
  <c r="O16" i="9"/>
  <c r="P15" i="9"/>
  <c r="O15" i="9"/>
  <c r="P14" i="9"/>
  <c r="O14" i="9"/>
  <c r="P13" i="9"/>
  <c r="O13" i="9"/>
  <c r="P12" i="9"/>
  <c r="O12" i="9"/>
  <c r="P11" i="9"/>
  <c r="O11" i="9"/>
  <c r="P10" i="9"/>
  <c r="O10" i="9"/>
  <c r="P9" i="9"/>
  <c r="O9" i="9"/>
  <c r="P7" i="9"/>
  <c r="O7" i="9"/>
  <c r="P6" i="9"/>
  <c r="O6" i="9"/>
  <c r="P5" i="9"/>
  <c r="O5" i="9"/>
  <c r="P4" i="9"/>
  <c r="O4" i="9"/>
  <c r="P3" i="9"/>
  <c r="O3" i="9"/>
  <c r="P2" i="9"/>
  <c r="O2" i="9"/>
  <c r="P43" i="9"/>
  <c r="P90" i="9" s="1"/>
  <c r="P153" i="9" s="1"/>
  <c r="F143" i="8"/>
  <c r="E143" i="8"/>
  <c r="D143" i="8"/>
  <c r="C143" i="8"/>
  <c r="F142" i="8"/>
  <c r="E142" i="8"/>
  <c r="N141" i="8" s="1"/>
  <c r="D142" i="8"/>
  <c r="M141" i="8" s="1"/>
  <c r="C142" i="8"/>
  <c r="L141" i="8" s="1"/>
  <c r="F141" i="8"/>
  <c r="E141" i="8"/>
  <c r="N140" i="8" s="1"/>
  <c r="D141" i="8"/>
  <c r="M140" i="8" s="1"/>
  <c r="C141" i="8"/>
  <c r="L140" i="8" s="1"/>
  <c r="F140" i="8"/>
  <c r="E140" i="8"/>
  <c r="D140" i="8"/>
  <c r="C140" i="8"/>
  <c r="F139" i="8"/>
  <c r="E139" i="8"/>
  <c r="D139" i="8"/>
  <c r="C139" i="8"/>
  <c r="F136" i="8"/>
  <c r="E136" i="8"/>
  <c r="D136" i="8"/>
  <c r="C136" i="8"/>
  <c r="F135" i="8"/>
  <c r="E135" i="8"/>
  <c r="D135" i="8"/>
  <c r="C135" i="8"/>
  <c r="F134" i="8"/>
  <c r="E134" i="8"/>
  <c r="D134" i="8"/>
  <c r="C134" i="8"/>
  <c r="F133" i="8"/>
  <c r="E133" i="8"/>
  <c r="D133" i="8"/>
  <c r="C133" i="8"/>
  <c r="F131" i="8"/>
  <c r="E131" i="8"/>
  <c r="D131" i="8"/>
  <c r="C131" i="8"/>
  <c r="F127" i="8"/>
  <c r="E127" i="8"/>
  <c r="D127" i="8"/>
  <c r="C127" i="8"/>
  <c r="M42" i="8"/>
  <c r="L42" i="8"/>
  <c r="K42" i="8"/>
  <c r="J42" i="8"/>
  <c r="I42" i="8"/>
  <c r="H42" i="8"/>
  <c r="G42" i="8"/>
  <c r="F42" i="8"/>
  <c r="E42" i="8"/>
  <c r="D42" i="8"/>
  <c r="M41" i="8"/>
  <c r="L41" i="8"/>
  <c r="K41" i="8"/>
  <c r="J41" i="8"/>
  <c r="I41" i="8"/>
  <c r="H41" i="8"/>
  <c r="G41" i="8"/>
  <c r="F41" i="8"/>
  <c r="E41" i="8"/>
  <c r="D41" i="8"/>
  <c r="M40" i="8"/>
  <c r="L40" i="8"/>
  <c r="K40" i="8"/>
  <c r="J40" i="8"/>
  <c r="I40" i="8"/>
  <c r="H40" i="8"/>
  <c r="G40" i="8"/>
  <c r="F40" i="8"/>
  <c r="E40" i="8"/>
  <c r="D40" i="8"/>
  <c r="M39" i="8"/>
  <c r="L39" i="8"/>
  <c r="K39" i="8"/>
  <c r="J39" i="8"/>
  <c r="I39" i="8"/>
  <c r="H39" i="8"/>
  <c r="G39" i="8"/>
  <c r="F39" i="8"/>
  <c r="E39" i="8"/>
  <c r="D39" i="8"/>
  <c r="M38" i="8"/>
  <c r="L38" i="8"/>
  <c r="K38" i="8"/>
  <c r="J38" i="8"/>
  <c r="P38" i="8" s="1"/>
  <c r="I38" i="8"/>
  <c r="H38" i="8"/>
  <c r="G38" i="8"/>
  <c r="F38" i="8"/>
  <c r="E38" i="8"/>
  <c r="D38" i="8"/>
  <c r="O38" i="8" s="1"/>
  <c r="M37" i="8"/>
  <c r="L37" i="8"/>
  <c r="K37" i="8"/>
  <c r="J37" i="8"/>
  <c r="P37" i="8" s="1"/>
  <c r="I37" i="8"/>
  <c r="H37" i="8"/>
  <c r="G37" i="8"/>
  <c r="F37" i="8"/>
  <c r="E37" i="8"/>
  <c r="D37" i="8"/>
  <c r="O37" i="8" s="1"/>
  <c r="M36" i="8"/>
  <c r="L36" i="8"/>
  <c r="K36" i="8"/>
  <c r="J36" i="8"/>
  <c r="P36" i="8" s="1"/>
  <c r="I36" i="8"/>
  <c r="H36" i="8"/>
  <c r="G36" i="8"/>
  <c r="F36" i="8"/>
  <c r="E36" i="8"/>
  <c r="D36" i="8"/>
  <c r="O36" i="8" s="1"/>
  <c r="M35" i="8"/>
  <c r="L35" i="8"/>
  <c r="K35" i="8"/>
  <c r="J35" i="8"/>
  <c r="P35" i="8" s="1"/>
  <c r="I35" i="8"/>
  <c r="H35" i="8"/>
  <c r="G35" i="8"/>
  <c r="F35" i="8"/>
  <c r="E35" i="8"/>
  <c r="D35" i="8"/>
  <c r="O35" i="8" s="1"/>
  <c r="M34" i="8"/>
  <c r="L34" i="8"/>
  <c r="K34" i="8"/>
  <c r="J34" i="8"/>
  <c r="P34" i="8" s="1"/>
  <c r="I34" i="8"/>
  <c r="H34" i="8"/>
  <c r="G34" i="8"/>
  <c r="F34" i="8"/>
  <c r="E34" i="8"/>
  <c r="D34" i="8"/>
  <c r="O34" i="8" s="1"/>
  <c r="M33" i="8"/>
  <c r="L33" i="8"/>
  <c r="K33" i="8"/>
  <c r="J33" i="8"/>
  <c r="P33" i="8" s="1"/>
  <c r="I33" i="8"/>
  <c r="H33" i="8"/>
  <c r="G33" i="8"/>
  <c r="F33" i="8"/>
  <c r="E33" i="8"/>
  <c r="D33" i="8"/>
  <c r="O33" i="8" s="1"/>
  <c r="M32" i="8"/>
  <c r="L32" i="8"/>
  <c r="K32" i="8"/>
  <c r="J32" i="8"/>
  <c r="P32" i="8" s="1"/>
  <c r="I32" i="8"/>
  <c r="H32" i="8"/>
  <c r="G32" i="8"/>
  <c r="F32" i="8"/>
  <c r="E32" i="8"/>
  <c r="D32" i="8"/>
  <c r="O32" i="8" s="1"/>
  <c r="M31" i="8"/>
  <c r="L31" i="8"/>
  <c r="K31" i="8"/>
  <c r="J31" i="8"/>
  <c r="P31" i="8" s="1"/>
  <c r="I31" i="8"/>
  <c r="H31" i="8"/>
  <c r="G31" i="8"/>
  <c r="F31" i="8"/>
  <c r="E31" i="8"/>
  <c r="D31" i="8"/>
  <c r="O31" i="8" s="1"/>
  <c r="M30" i="8"/>
  <c r="L30" i="8"/>
  <c r="K30" i="8"/>
  <c r="J30" i="8"/>
  <c r="P30" i="8" s="1"/>
  <c r="I30" i="8"/>
  <c r="H30" i="8"/>
  <c r="G30" i="8"/>
  <c r="F30" i="8"/>
  <c r="E30" i="8"/>
  <c r="D30" i="8"/>
  <c r="O30" i="8" s="1"/>
  <c r="L29" i="8"/>
  <c r="K29" i="8"/>
  <c r="J29" i="8"/>
  <c r="I29" i="8"/>
  <c r="H29" i="8"/>
  <c r="G29" i="8"/>
  <c r="F29" i="8"/>
  <c r="E29" i="8"/>
  <c r="D29" i="8"/>
  <c r="M28" i="8"/>
  <c r="L28" i="8"/>
  <c r="K28" i="8"/>
  <c r="J28" i="8"/>
  <c r="P28" i="8" s="1"/>
  <c r="I28" i="8"/>
  <c r="H28" i="8"/>
  <c r="G28" i="8"/>
  <c r="F28" i="8"/>
  <c r="E28" i="8"/>
  <c r="D28" i="8"/>
  <c r="O28" i="8" s="1"/>
  <c r="M27" i="8"/>
  <c r="L27" i="8"/>
  <c r="K27" i="8"/>
  <c r="J27" i="8"/>
  <c r="P27" i="8" s="1"/>
  <c r="I27" i="8"/>
  <c r="H27" i="8"/>
  <c r="G27" i="8"/>
  <c r="F27" i="8"/>
  <c r="E27" i="8"/>
  <c r="D27" i="8"/>
  <c r="M26" i="8"/>
  <c r="L26" i="8"/>
  <c r="K26" i="8"/>
  <c r="J26" i="8"/>
  <c r="P26" i="8" s="1"/>
  <c r="I26" i="8"/>
  <c r="H26" i="8"/>
  <c r="G26" i="8"/>
  <c r="F26" i="8"/>
  <c r="E26" i="8"/>
  <c r="D26" i="8"/>
  <c r="O26" i="8" s="1"/>
  <c r="M25" i="8"/>
  <c r="L25" i="8"/>
  <c r="K25" i="8"/>
  <c r="J25" i="8"/>
  <c r="P25" i="8" s="1"/>
  <c r="I25" i="8"/>
  <c r="H25" i="8"/>
  <c r="G25" i="8"/>
  <c r="F25" i="8"/>
  <c r="E25" i="8"/>
  <c r="D25" i="8"/>
  <c r="O25" i="8" s="1"/>
  <c r="M24" i="8"/>
  <c r="L24" i="8"/>
  <c r="K24" i="8"/>
  <c r="J24" i="8"/>
  <c r="P24" i="8" s="1"/>
  <c r="I24" i="8"/>
  <c r="H24" i="8"/>
  <c r="G24" i="8"/>
  <c r="F24" i="8"/>
  <c r="E24" i="8"/>
  <c r="D24" i="8"/>
  <c r="O24" i="8" s="1"/>
  <c r="M23" i="8"/>
  <c r="L23" i="8"/>
  <c r="K23" i="8"/>
  <c r="J23" i="8"/>
  <c r="P23" i="8" s="1"/>
  <c r="I23" i="8"/>
  <c r="H23" i="8"/>
  <c r="G23" i="8"/>
  <c r="F23" i="8"/>
  <c r="E23" i="8"/>
  <c r="D23" i="8"/>
  <c r="O23" i="8" s="1"/>
  <c r="M21" i="8"/>
  <c r="L21" i="8"/>
  <c r="K21" i="8"/>
  <c r="J21" i="8"/>
  <c r="P21" i="8" s="1"/>
  <c r="I21" i="8"/>
  <c r="H21" i="8"/>
  <c r="G21" i="8"/>
  <c r="F21" i="8"/>
  <c r="E21" i="8"/>
  <c r="D21" i="8"/>
  <c r="O21" i="8" s="1"/>
  <c r="M17" i="8"/>
  <c r="L17" i="8"/>
  <c r="K17" i="8"/>
  <c r="J17" i="8"/>
  <c r="P17" i="8" s="1"/>
  <c r="I17" i="8"/>
  <c r="H17" i="8"/>
  <c r="G17" i="8"/>
  <c r="F17" i="8"/>
  <c r="E17" i="8"/>
  <c r="D17" i="8"/>
  <c r="O17" i="8" s="1"/>
  <c r="M8" i="8"/>
  <c r="L8" i="8"/>
  <c r="K8" i="8"/>
  <c r="J8" i="8"/>
  <c r="P8" i="8" s="1"/>
  <c r="I8" i="8"/>
  <c r="H8" i="8"/>
  <c r="G8" i="8"/>
  <c r="F8" i="8"/>
  <c r="E8" i="8"/>
  <c r="D8" i="8"/>
  <c r="O8" i="8" s="1"/>
  <c r="N142" i="8"/>
  <c r="M142" i="8"/>
  <c r="L142" i="8"/>
  <c r="N139" i="8"/>
  <c r="M139" i="8"/>
  <c r="L139" i="8"/>
  <c r="B115" i="8"/>
  <c r="S90" i="8" s="1"/>
  <c r="F115" i="8" s="1"/>
  <c r="B153" i="8" s="1"/>
  <c r="F77" i="8"/>
  <c r="A77" i="8"/>
  <c r="K63" i="8"/>
  <c r="F63" i="8"/>
  <c r="B63" i="8"/>
  <c r="A51" i="8"/>
  <c r="A50" i="8"/>
  <c r="K49" i="8"/>
  <c r="A49" i="8"/>
  <c r="P42" i="8"/>
  <c r="O42" i="8"/>
  <c r="P41" i="8"/>
  <c r="O41" i="8"/>
  <c r="P40" i="8"/>
  <c r="O40" i="8"/>
  <c r="P39" i="8"/>
  <c r="O39" i="8"/>
  <c r="P29" i="8"/>
  <c r="O29" i="8"/>
  <c r="P22" i="8"/>
  <c r="O22" i="8"/>
  <c r="P20" i="8"/>
  <c r="O20" i="8"/>
  <c r="P19" i="8"/>
  <c r="O19" i="8"/>
  <c r="P18" i="8"/>
  <c r="O18" i="8"/>
  <c r="P16" i="8"/>
  <c r="O16" i="8"/>
  <c r="P15" i="8"/>
  <c r="O15" i="8"/>
  <c r="P14" i="8"/>
  <c r="O14" i="8"/>
  <c r="P13" i="8"/>
  <c r="O13" i="8"/>
  <c r="P12" i="8"/>
  <c r="O12" i="8"/>
  <c r="P11" i="8"/>
  <c r="O11" i="8"/>
  <c r="P10" i="8"/>
  <c r="O10" i="8"/>
  <c r="P9" i="8"/>
  <c r="O9" i="8"/>
  <c r="P7" i="8"/>
  <c r="O7" i="8"/>
  <c r="P6" i="8"/>
  <c r="O6" i="8"/>
  <c r="P5" i="8"/>
  <c r="O5" i="8"/>
  <c r="P4" i="8"/>
  <c r="O4" i="8"/>
  <c r="P3" i="8"/>
  <c r="O3" i="8"/>
  <c r="P2" i="8"/>
  <c r="O2" i="8"/>
  <c r="P43" i="8"/>
  <c r="P90" i="8" s="1"/>
  <c r="P153" i="8" s="1"/>
  <c r="F143" i="7"/>
  <c r="D143" i="7"/>
  <c r="M142" i="7" s="1"/>
  <c r="F142" i="7"/>
  <c r="D142" i="7"/>
  <c r="M141" i="7" s="1"/>
  <c r="F141" i="7"/>
  <c r="D141" i="7"/>
  <c r="M140" i="7" s="1"/>
  <c r="F140" i="7"/>
  <c r="D140" i="7"/>
  <c r="F139" i="7"/>
  <c r="D139" i="7"/>
  <c r="F136" i="7"/>
  <c r="D136" i="7"/>
  <c r="F135" i="7"/>
  <c r="D135" i="7"/>
  <c r="F134" i="7"/>
  <c r="D134" i="7"/>
  <c r="F133" i="7"/>
  <c r="D133" i="7"/>
  <c r="F131" i="7"/>
  <c r="D131" i="7"/>
  <c r="F127" i="7"/>
  <c r="D127" i="7"/>
  <c r="K42" i="7"/>
  <c r="I42" i="7"/>
  <c r="K41" i="7"/>
  <c r="K40" i="7"/>
  <c r="I40" i="7"/>
  <c r="K39" i="7"/>
  <c r="M38" i="7"/>
  <c r="L38" i="7"/>
  <c r="K38" i="7"/>
  <c r="J38" i="7"/>
  <c r="P38" i="7" s="1"/>
  <c r="I38" i="7"/>
  <c r="H38" i="7"/>
  <c r="G38" i="7"/>
  <c r="F38" i="7"/>
  <c r="E38" i="7"/>
  <c r="D38" i="7"/>
  <c r="O38" i="7" s="1"/>
  <c r="M37" i="7"/>
  <c r="L37" i="7"/>
  <c r="K37" i="7"/>
  <c r="J37" i="7"/>
  <c r="P37" i="7" s="1"/>
  <c r="I37" i="7"/>
  <c r="H37" i="7"/>
  <c r="G37" i="7"/>
  <c r="F37" i="7"/>
  <c r="E37" i="7"/>
  <c r="D37" i="7"/>
  <c r="O37" i="7" s="1"/>
  <c r="M36" i="7"/>
  <c r="L36" i="7"/>
  <c r="K36" i="7"/>
  <c r="J36" i="7"/>
  <c r="P36" i="7" s="1"/>
  <c r="I36" i="7"/>
  <c r="H36" i="7"/>
  <c r="G36" i="7"/>
  <c r="F36" i="7"/>
  <c r="E36" i="7"/>
  <c r="D36" i="7"/>
  <c r="O36" i="7" s="1"/>
  <c r="M35" i="7"/>
  <c r="L35" i="7"/>
  <c r="K35" i="7"/>
  <c r="J35" i="7"/>
  <c r="P35" i="7" s="1"/>
  <c r="I35" i="7"/>
  <c r="H35" i="7"/>
  <c r="G35" i="7"/>
  <c r="F35" i="7"/>
  <c r="E35" i="7"/>
  <c r="D35" i="7"/>
  <c r="O35" i="7" s="1"/>
  <c r="M34" i="7"/>
  <c r="L34" i="7"/>
  <c r="K34" i="7"/>
  <c r="J34" i="7"/>
  <c r="P34" i="7" s="1"/>
  <c r="I34" i="7"/>
  <c r="H34" i="7"/>
  <c r="G34" i="7"/>
  <c r="F34" i="7"/>
  <c r="E34" i="7"/>
  <c r="D34" i="7"/>
  <c r="O34" i="7" s="1"/>
  <c r="M33" i="7"/>
  <c r="L33" i="7"/>
  <c r="K33" i="7"/>
  <c r="J33" i="7"/>
  <c r="P33" i="7" s="1"/>
  <c r="I33" i="7"/>
  <c r="H33" i="7"/>
  <c r="G33" i="7"/>
  <c r="F33" i="7"/>
  <c r="E33" i="7"/>
  <c r="D33" i="7"/>
  <c r="O33" i="7" s="1"/>
  <c r="M32" i="7"/>
  <c r="L32" i="7"/>
  <c r="K32" i="7"/>
  <c r="J32" i="7"/>
  <c r="P32" i="7" s="1"/>
  <c r="I32" i="7"/>
  <c r="H32" i="7"/>
  <c r="G32" i="7"/>
  <c r="F32" i="7"/>
  <c r="E32" i="7"/>
  <c r="D32" i="7"/>
  <c r="O32" i="7" s="1"/>
  <c r="M31" i="7"/>
  <c r="L31" i="7"/>
  <c r="K31" i="7"/>
  <c r="J31" i="7"/>
  <c r="P31" i="7" s="1"/>
  <c r="I31" i="7"/>
  <c r="H31" i="7"/>
  <c r="G31" i="7"/>
  <c r="F31" i="7"/>
  <c r="E31" i="7"/>
  <c r="D31" i="7"/>
  <c r="O31" i="7" s="1"/>
  <c r="M30" i="7"/>
  <c r="L30" i="7"/>
  <c r="K30" i="7"/>
  <c r="J30" i="7"/>
  <c r="P30" i="7" s="1"/>
  <c r="I30" i="7"/>
  <c r="H30" i="7"/>
  <c r="G30" i="7"/>
  <c r="F30" i="7"/>
  <c r="E30" i="7"/>
  <c r="D30" i="7"/>
  <c r="O30" i="7" s="1"/>
  <c r="M29" i="7"/>
  <c r="L29" i="7"/>
  <c r="K29" i="7"/>
  <c r="J29" i="7"/>
  <c r="P29" i="7" s="1"/>
  <c r="I29" i="7"/>
  <c r="H29" i="7"/>
  <c r="G29" i="7"/>
  <c r="F29" i="7"/>
  <c r="E29" i="7"/>
  <c r="D29" i="7"/>
  <c r="O29" i="7" s="1"/>
  <c r="M28" i="7"/>
  <c r="L28" i="7"/>
  <c r="K28" i="7"/>
  <c r="J28" i="7"/>
  <c r="P28" i="7" s="1"/>
  <c r="I28" i="7"/>
  <c r="H28" i="7"/>
  <c r="G28" i="7"/>
  <c r="F28" i="7"/>
  <c r="E28" i="7"/>
  <c r="D28" i="7"/>
  <c r="O28" i="7" s="1"/>
  <c r="M27" i="7"/>
  <c r="L27" i="7"/>
  <c r="K27" i="7"/>
  <c r="J27" i="7"/>
  <c r="P27" i="7" s="1"/>
  <c r="I27" i="7"/>
  <c r="H27" i="7"/>
  <c r="G27" i="7"/>
  <c r="F27" i="7"/>
  <c r="E27" i="7"/>
  <c r="D27" i="7"/>
  <c r="O27" i="7" s="1"/>
  <c r="M26" i="7"/>
  <c r="L26" i="7"/>
  <c r="K26" i="7"/>
  <c r="J26" i="7"/>
  <c r="P26" i="7" s="1"/>
  <c r="I26" i="7"/>
  <c r="H26" i="7"/>
  <c r="G26" i="7"/>
  <c r="F26" i="7"/>
  <c r="E26" i="7"/>
  <c r="D26" i="7"/>
  <c r="O26" i="7" s="1"/>
  <c r="M25" i="7"/>
  <c r="L25" i="7"/>
  <c r="K25" i="7"/>
  <c r="J25" i="7"/>
  <c r="P25" i="7" s="1"/>
  <c r="I25" i="7"/>
  <c r="H25" i="7"/>
  <c r="G25" i="7"/>
  <c r="F25" i="7"/>
  <c r="E25" i="7"/>
  <c r="D25" i="7"/>
  <c r="O25" i="7" s="1"/>
  <c r="M24" i="7"/>
  <c r="L24" i="7"/>
  <c r="K24" i="7"/>
  <c r="J24" i="7"/>
  <c r="P24" i="7" s="1"/>
  <c r="I24" i="7"/>
  <c r="H24" i="7"/>
  <c r="G24" i="7"/>
  <c r="F24" i="7"/>
  <c r="E24" i="7"/>
  <c r="D24" i="7"/>
  <c r="O24" i="7" s="1"/>
  <c r="M23" i="7"/>
  <c r="L23" i="7"/>
  <c r="K23" i="7"/>
  <c r="J23" i="7"/>
  <c r="P23" i="7" s="1"/>
  <c r="I23" i="7"/>
  <c r="H23" i="7"/>
  <c r="G23" i="7"/>
  <c r="F23" i="7"/>
  <c r="E23" i="7"/>
  <c r="D23" i="7"/>
  <c r="O23" i="7" s="1"/>
  <c r="M21" i="7"/>
  <c r="L21" i="7"/>
  <c r="K21" i="7"/>
  <c r="J21" i="7"/>
  <c r="P21" i="7" s="1"/>
  <c r="I21" i="7"/>
  <c r="H21" i="7"/>
  <c r="G21" i="7"/>
  <c r="F21" i="7"/>
  <c r="E21" i="7"/>
  <c r="D21" i="7"/>
  <c r="O21" i="7" s="1"/>
  <c r="M17" i="7"/>
  <c r="L17" i="7"/>
  <c r="K17" i="7"/>
  <c r="J17" i="7"/>
  <c r="P17" i="7" s="1"/>
  <c r="I17" i="7"/>
  <c r="H17" i="7"/>
  <c r="G17" i="7"/>
  <c r="F17" i="7"/>
  <c r="E17" i="7"/>
  <c r="D17" i="7"/>
  <c r="O17" i="7" s="1"/>
  <c r="M8" i="7"/>
  <c r="L8" i="7"/>
  <c r="K8" i="7"/>
  <c r="J8" i="7"/>
  <c r="P8" i="7" s="1"/>
  <c r="I8" i="7"/>
  <c r="H8" i="7"/>
  <c r="G8" i="7"/>
  <c r="F8" i="7"/>
  <c r="E8" i="7"/>
  <c r="D8" i="7"/>
  <c r="O8" i="7" s="1"/>
  <c r="N142" i="7"/>
  <c r="L142" i="7"/>
  <c r="N141" i="7"/>
  <c r="L141" i="7"/>
  <c r="N140" i="7"/>
  <c r="L140" i="7"/>
  <c r="N139" i="7"/>
  <c r="M139" i="7"/>
  <c r="L139" i="7"/>
  <c r="B115" i="7"/>
  <c r="S90" i="7" s="1"/>
  <c r="F115" i="7" s="1"/>
  <c r="B153" i="7" s="1"/>
  <c r="F77" i="7"/>
  <c r="A77" i="7"/>
  <c r="K63" i="7"/>
  <c r="F63" i="7"/>
  <c r="B63" i="7"/>
  <c r="A51" i="7"/>
  <c r="A50" i="7"/>
  <c r="K49" i="7"/>
  <c r="A49" i="7"/>
  <c r="P42" i="7"/>
  <c r="O42" i="7"/>
  <c r="P41" i="7"/>
  <c r="O41" i="7"/>
  <c r="P40" i="7"/>
  <c r="O40" i="7"/>
  <c r="P39" i="7"/>
  <c r="O39" i="7"/>
  <c r="P22" i="7"/>
  <c r="O22" i="7"/>
  <c r="P20" i="7"/>
  <c r="O20" i="7"/>
  <c r="P19" i="7"/>
  <c r="O19" i="7"/>
  <c r="P18" i="7"/>
  <c r="O18" i="7"/>
  <c r="P16" i="7"/>
  <c r="O16" i="7"/>
  <c r="P15" i="7"/>
  <c r="O15" i="7"/>
  <c r="P14" i="7"/>
  <c r="O14" i="7"/>
  <c r="P13" i="7"/>
  <c r="O13" i="7"/>
  <c r="P12" i="7"/>
  <c r="O12" i="7"/>
  <c r="P11" i="7"/>
  <c r="O11" i="7"/>
  <c r="P10" i="7"/>
  <c r="O10" i="7"/>
  <c r="P9" i="7"/>
  <c r="O9" i="7"/>
  <c r="P7" i="7"/>
  <c r="O7" i="7"/>
  <c r="P6" i="7"/>
  <c r="O6" i="7"/>
  <c r="P5" i="7"/>
  <c r="O5" i="7"/>
  <c r="P4" i="7"/>
  <c r="O4" i="7"/>
  <c r="P3" i="7"/>
  <c r="O3" i="7"/>
  <c r="P2" i="7"/>
  <c r="O2" i="7"/>
  <c r="P43" i="7"/>
  <c r="P90" i="7" s="1"/>
  <c r="P153" i="7" s="1"/>
  <c r="F143" i="6"/>
  <c r="E143" i="6"/>
  <c r="N142" i="6" s="1"/>
  <c r="D143" i="6"/>
  <c r="M142" i="6" s="1"/>
  <c r="C143" i="6"/>
  <c r="L142" i="6" s="1"/>
  <c r="F142" i="6"/>
  <c r="E142" i="6"/>
  <c r="N141" i="6" s="1"/>
  <c r="D142" i="6"/>
  <c r="M141" i="6" s="1"/>
  <c r="C142" i="6"/>
  <c r="L141" i="6" s="1"/>
  <c r="F141" i="6"/>
  <c r="E141" i="6"/>
  <c r="N140" i="6" s="1"/>
  <c r="D141" i="6"/>
  <c r="M140" i="6" s="1"/>
  <c r="C141" i="6"/>
  <c r="L140" i="6" s="1"/>
  <c r="F140" i="6"/>
  <c r="E140" i="6"/>
  <c r="D140" i="6"/>
  <c r="C140" i="6"/>
  <c r="F139" i="6"/>
  <c r="E139" i="6"/>
  <c r="D139" i="6"/>
  <c r="C139" i="6"/>
  <c r="F136" i="6"/>
  <c r="E136" i="6"/>
  <c r="D136" i="6"/>
  <c r="C136" i="6"/>
  <c r="F135" i="6"/>
  <c r="E135" i="6"/>
  <c r="D135" i="6"/>
  <c r="C135" i="6"/>
  <c r="F134" i="6"/>
  <c r="E134" i="6"/>
  <c r="D134" i="6"/>
  <c r="C134" i="6"/>
  <c r="F133" i="6"/>
  <c r="E133" i="6"/>
  <c r="D133" i="6"/>
  <c r="C133" i="6"/>
  <c r="F131" i="6"/>
  <c r="E131" i="6"/>
  <c r="D131" i="6"/>
  <c r="C131" i="6"/>
  <c r="F127" i="6"/>
  <c r="E127" i="6"/>
  <c r="D127" i="6"/>
  <c r="C127" i="6"/>
  <c r="M42" i="6"/>
  <c r="L42" i="6"/>
  <c r="K42" i="6"/>
  <c r="J42" i="6"/>
  <c r="I42" i="6"/>
  <c r="H42" i="6"/>
  <c r="G42" i="6"/>
  <c r="F42" i="6"/>
  <c r="E42" i="6"/>
  <c r="D42" i="6"/>
  <c r="M41" i="6"/>
  <c r="L41" i="6"/>
  <c r="K41" i="6"/>
  <c r="J41" i="6"/>
  <c r="I41" i="6"/>
  <c r="H41" i="6"/>
  <c r="G41" i="6"/>
  <c r="F41" i="6"/>
  <c r="E41" i="6"/>
  <c r="D41" i="6"/>
  <c r="M40" i="6"/>
  <c r="L40" i="6"/>
  <c r="K40" i="6"/>
  <c r="J40" i="6"/>
  <c r="I40" i="6"/>
  <c r="H40" i="6"/>
  <c r="G40" i="6"/>
  <c r="F40" i="6"/>
  <c r="E40" i="6"/>
  <c r="D40" i="6"/>
  <c r="M39" i="6"/>
  <c r="L39" i="6"/>
  <c r="K39" i="6"/>
  <c r="J39" i="6"/>
  <c r="I39" i="6"/>
  <c r="H39" i="6"/>
  <c r="G39" i="6"/>
  <c r="F39" i="6"/>
  <c r="E39" i="6"/>
  <c r="D39" i="6"/>
  <c r="M38" i="6"/>
  <c r="L38" i="6"/>
  <c r="K38" i="6"/>
  <c r="J38" i="6"/>
  <c r="P38" i="6" s="1"/>
  <c r="I38" i="6"/>
  <c r="H38" i="6"/>
  <c r="G38" i="6"/>
  <c r="F38" i="6"/>
  <c r="E38" i="6"/>
  <c r="D38" i="6"/>
  <c r="O38" i="6" s="1"/>
  <c r="M37" i="6"/>
  <c r="L37" i="6"/>
  <c r="K37" i="6"/>
  <c r="J37" i="6"/>
  <c r="P37" i="6" s="1"/>
  <c r="I37" i="6"/>
  <c r="H37" i="6"/>
  <c r="G37" i="6"/>
  <c r="F37" i="6"/>
  <c r="E37" i="6"/>
  <c r="D37" i="6"/>
  <c r="O37" i="6" s="1"/>
  <c r="M36" i="6"/>
  <c r="L36" i="6"/>
  <c r="K36" i="6"/>
  <c r="J36" i="6"/>
  <c r="P36" i="6" s="1"/>
  <c r="I36" i="6"/>
  <c r="H36" i="6"/>
  <c r="G36" i="6"/>
  <c r="F36" i="6"/>
  <c r="E36" i="6"/>
  <c r="D36" i="6"/>
  <c r="O36" i="6" s="1"/>
  <c r="M35" i="6"/>
  <c r="L35" i="6"/>
  <c r="K35" i="6"/>
  <c r="J35" i="6"/>
  <c r="P35" i="6" s="1"/>
  <c r="I35" i="6"/>
  <c r="H35" i="6"/>
  <c r="G35" i="6"/>
  <c r="F35" i="6"/>
  <c r="E35" i="6"/>
  <c r="D35" i="6"/>
  <c r="O35" i="6" s="1"/>
  <c r="M34" i="6"/>
  <c r="L34" i="6"/>
  <c r="K34" i="6"/>
  <c r="J34" i="6"/>
  <c r="P34" i="6" s="1"/>
  <c r="I34" i="6"/>
  <c r="H34" i="6"/>
  <c r="G34" i="6"/>
  <c r="F34" i="6"/>
  <c r="E34" i="6"/>
  <c r="D34" i="6"/>
  <c r="O34" i="6" s="1"/>
  <c r="M33" i="6"/>
  <c r="L33" i="6"/>
  <c r="K33" i="6"/>
  <c r="J33" i="6"/>
  <c r="P33" i="6" s="1"/>
  <c r="I33" i="6"/>
  <c r="H33" i="6"/>
  <c r="G33" i="6"/>
  <c r="F33" i="6"/>
  <c r="E33" i="6"/>
  <c r="D33" i="6"/>
  <c r="O33" i="6" s="1"/>
  <c r="M32" i="6"/>
  <c r="L32" i="6"/>
  <c r="K32" i="6"/>
  <c r="J32" i="6"/>
  <c r="P32" i="6" s="1"/>
  <c r="I32" i="6"/>
  <c r="H32" i="6"/>
  <c r="G32" i="6"/>
  <c r="F32" i="6"/>
  <c r="E32" i="6"/>
  <c r="D32" i="6"/>
  <c r="O32" i="6" s="1"/>
  <c r="M31" i="6"/>
  <c r="L31" i="6"/>
  <c r="K31" i="6"/>
  <c r="J31" i="6"/>
  <c r="P31" i="6" s="1"/>
  <c r="I31" i="6"/>
  <c r="H31" i="6"/>
  <c r="G31" i="6"/>
  <c r="F31" i="6"/>
  <c r="E31" i="6"/>
  <c r="D31" i="6"/>
  <c r="O31" i="6" s="1"/>
  <c r="M30" i="6"/>
  <c r="L30" i="6"/>
  <c r="K30" i="6"/>
  <c r="J30" i="6"/>
  <c r="P30" i="6" s="1"/>
  <c r="I30" i="6"/>
  <c r="H30" i="6"/>
  <c r="G30" i="6"/>
  <c r="F30" i="6"/>
  <c r="E30" i="6"/>
  <c r="D30" i="6"/>
  <c r="O30" i="6" s="1"/>
  <c r="M29" i="6"/>
  <c r="L29" i="6"/>
  <c r="K29" i="6"/>
  <c r="J29" i="6"/>
  <c r="P29" i="6" s="1"/>
  <c r="I29" i="6"/>
  <c r="F29" i="6"/>
  <c r="E29" i="6"/>
  <c r="D29" i="6"/>
  <c r="O29" i="6" s="1"/>
  <c r="M28" i="6"/>
  <c r="L28" i="6"/>
  <c r="K28" i="6"/>
  <c r="J28" i="6"/>
  <c r="P28" i="6" s="1"/>
  <c r="I28" i="6"/>
  <c r="H28" i="6"/>
  <c r="G28" i="6"/>
  <c r="F28" i="6"/>
  <c r="E28" i="6"/>
  <c r="D28" i="6"/>
  <c r="O28" i="6" s="1"/>
  <c r="M27" i="6"/>
  <c r="L27" i="6"/>
  <c r="K27" i="6"/>
  <c r="J27" i="6"/>
  <c r="P27" i="6" s="1"/>
  <c r="I27" i="6"/>
  <c r="H27" i="6"/>
  <c r="G27" i="6"/>
  <c r="F27" i="6"/>
  <c r="E27" i="6"/>
  <c r="D27" i="6"/>
  <c r="O27" i="6" s="1"/>
  <c r="M26" i="6"/>
  <c r="L26" i="6"/>
  <c r="K26" i="6"/>
  <c r="J26" i="6"/>
  <c r="P26" i="6" s="1"/>
  <c r="I26" i="6"/>
  <c r="H26" i="6"/>
  <c r="G26" i="6"/>
  <c r="F26" i="6"/>
  <c r="E26" i="6"/>
  <c r="D26" i="6"/>
  <c r="M25" i="6"/>
  <c r="L25" i="6"/>
  <c r="K25" i="6"/>
  <c r="J25" i="6"/>
  <c r="P25" i="6" s="1"/>
  <c r="I25" i="6"/>
  <c r="H25" i="6"/>
  <c r="G25" i="6"/>
  <c r="F25" i="6"/>
  <c r="E25" i="6"/>
  <c r="D25" i="6"/>
  <c r="O25" i="6" s="1"/>
  <c r="M24" i="6"/>
  <c r="L24" i="6"/>
  <c r="K24" i="6"/>
  <c r="J24" i="6"/>
  <c r="P24" i="6" s="1"/>
  <c r="I24" i="6"/>
  <c r="H24" i="6"/>
  <c r="G24" i="6"/>
  <c r="F24" i="6"/>
  <c r="E24" i="6"/>
  <c r="D24" i="6"/>
  <c r="O24" i="6" s="1"/>
  <c r="M23" i="6"/>
  <c r="L23" i="6"/>
  <c r="K23" i="6"/>
  <c r="J23" i="6"/>
  <c r="P23" i="6" s="1"/>
  <c r="I23" i="6"/>
  <c r="H23" i="6"/>
  <c r="G23" i="6"/>
  <c r="F23" i="6"/>
  <c r="E23" i="6"/>
  <c r="D23" i="6"/>
  <c r="O23" i="6" s="1"/>
  <c r="M21" i="6"/>
  <c r="L21" i="6"/>
  <c r="K21" i="6"/>
  <c r="J21" i="6"/>
  <c r="P21" i="6" s="1"/>
  <c r="I21" i="6"/>
  <c r="H21" i="6"/>
  <c r="G21" i="6"/>
  <c r="F21" i="6"/>
  <c r="E21" i="6"/>
  <c r="D21" i="6"/>
  <c r="O21" i="6" s="1"/>
  <c r="M17" i="6"/>
  <c r="L17" i="6"/>
  <c r="K17" i="6"/>
  <c r="J17" i="6"/>
  <c r="P17" i="6" s="1"/>
  <c r="I17" i="6"/>
  <c r="H17" i="6"/>
  <c r="G17" i="6"/>
  <c r="F17" i="6"/>
  <c r="E17" i="6"/>
  <c r="D17" i="6"/>
  <c r="O17" i="6" s="1"/>
  <c r="M8" i="6"/>
  <c r="L8" i="6"/>
  <c r="K8" i="6"/>
  <c r="J8" i="6"/>
  <c r="P8" i="6" s="1"/>
  <c r="I8" i="6"/>
  <c r="H8" i="6"/>
  <c r="G8" i="6"/>
  <c r="F8" i="6"/>
  <c r="E8" i="6"/>
  <c r="D8" i="6"/>
  <c r="O8" i="6" s="1"/>
  <c r="N139" i="6"/>
  <c r="M139" i="6"/>
  <c r="L139" i="6"/>
  <c r="B115" i="6"/>
  <c r="S90" i="6" s="1"/>
  <c r="F115" i="6" s="1"/>
  <c r="B153" i="6" s="1"/>
  <c r="F77" i="6"/>
  <c r="A77" i="6"/>
  <c r="K63" i="6"/>
  <c r="F63" i="6"/>
  <c r="B63" i="6"/>
  <c r="A51" i="6"/>
  <c r="A50" i="6"/>
  <c r="K49" i="6"/>
  <c r="A49" i="6"/>
  <c r="P42" i="6"/>
  <c r="O42" i="6"/>
  <c r="P41" i="6"/>
  <c r="O41" i="6"/>
  <c r="P40" i="6"/>
  <c r="O40" i="6"/>
  <c r="P39" i="6"/>
  <c r="O39" i="6"/>
  <c r="P22" i="6"/>
  <c r="O22" i="6"/>
  <c r="P20" i="6"/>
  <c r="O20" i="6"/>
  <c r="P19" i="6"/>
  <c r="O19" i="6"/>
  <c r="P18" i="6"/>
  <c r="O18" i="6"/>
  <c r="P16" i="6"/>
  <c r="O16" i="6"/>
  <c r="P15" i="6"/>
  <c r="O15" i="6"/>
  <c r="P14" i="6"/>
  <c r="O14" i="6"/>
  <c r="P13" i="6"/>
  <c r="O13" i="6"/>
  <c r="P12" i="6"/>
  <c r="O12" i="6"/>
  <c r="P11" i="6"/>
  <c r="O11" i="6"/>
  <c r="P10" i="6"/>
  <c r="O10" i="6"/>
  <c r="P9" i="6"/>
  <c r="O9" i="6"/>
  <c r="P7" i="6"/>
  <c r="O7" i="6"/>
  <c r="P6" i="6"/>
  <c r="O6" i="6"/>
  <c r="P5" i="6"/>
  <c r="O5" i="6"/>
  <c r="P4" i="6"/>
  <c r="O4" i="6"/>
  <c r="P3" i="6"/>
  <c r="O3" i="6"/>
  <c r="P2" i="6"/>
  <c r="O2" i="6"/>
  <c r="P43" i="6"/>
  <c r="P90" i="6" s="1"/>
  <c r="P153" i="6" s="1"/>
  <c r="F143" i="5"/>
  <c r="E143" i="5"/>
  <c r="D143" i="5"/>
  <c r="C143" i="5"/>
  <c r="F142" i="5"/>
  <c r="E142" i="5"/>
  <c r="N141" i="5" s="1"/>
  <c r="D142" i="5"/>
  <c r="M141" i="5" s="1"/>
  <c r="C142" i="5"/>
  <c r="L141" i="5" s="1"/>
  <c r="F141" i="5"/>
  <c r="E141" i="5"/>
  <c r="N140" i="5" s="1"/>
  <c r="D141" i="5"/>
  <c r="M140" i="5" s="1"/>
  <c r="C141" i="5"/>
  <c r="L140" i="5" s="1"/>
  <c r="F140" i="5"/>
  <c r="E140" i="5"/>
  <c r="D140" i="5"/>
  <c r="C140" i="5"/>
  <c r="F139" i="5"/>
  <c r="E139" i="5"/>
  <c r="D139" i="5"/>
  <c r="C139" i="5"/>
  <c r="F136" i="5"/>
  <c r="E136" i="5"/>
  <c r="D136" i="5"/>
  <c r="C136" i="5"/>
  <c r="F135" i="5"/>
  <c r="E135" i="5"/>
  <c r="D135" i="5"/>
  <c r="C135" i="5"/>
  <c r="F134" i="5"/>
  <c r="E134" i="5"/>
  <c r="D134" i="5"/>
  <c r="C134" i="5"/>
  <c r="F133" i="5"/>
  <c r="E133" i="5"/>
  <c r="D133" i="5"/>
  <c r="C133" i="5"/>
  <c r="F131" i="5"/>
  <c r="E131" i="5"/>
  <c r="D131" i="5"/>
  <c r="C131" i="5"/>
  <c r="F127" i="5"/>
  <c r="E127" i="5"/>
  <c r="D127" i="5"/>
  <c r="C127" i="5"/>
  <c r="M42" i="5"/>
  <c r="L42" i="5"/>
  <c r="K42" i="5"/>
  <c r="J42" i="5"/>
  <c r="I42" i="5"/>
  <c r="H42" i="5"/>
  <c r="G42" i="5"/>
  <c r="F42" i="5"/>
  <c r="E42" i="5"/>
  <c r="D42" i="5"/>
  <c r="M41" i="5"/>
  <c r="L41" i="5"/>
  <c r="K41" i="5"/>
  <c r="J41" i="5"/>
  <c r="I41" i="5"/>
  <c r="H41" i="5"/>
  <c r="G41" i="5"/>
  <c r="F41" i="5"/>
  <c r="E41" i="5"/>
  <c r="D41" i="5"/>
  <c r="M40" i="5"/>
  <c r="L40" i="5"/>
  <c r="K40" i="5"/>
  <c r="J40" i="5"/>
  <c r="I40" i="5"/>
  <c r="H40" i="5"/>
  <c r="G40" i="5"/>
  <c r="F40" i="5"/>
  <c r="E40" i="5"/>
  <c r="D40" i="5"/>
  <c r="M39" i="5"/>
  <c r="L39" i="5"/>
  <c r="K39" i="5"/>
  <c r="J39" i="5"/>
  <c r="I39" i="5"/>
  <c r="H39" i="5"/>
  <c r="G39" i="5"/>
  <c r="F39" i="5"/>
  <c r="E39" i="5"/>
  <c r="D39" i="5"/>
  <c r="M38" i="5"/>
  <c r="L38" i="5"/>
  <c r="K38" i="5"/>
  <c r="J38" i="5"/>
  <c r="P38" i="5" s="1"/>
  <c r="I38" i="5"/>
  <c r="H38" i="5"/>
  <c r="G38" i="5"/>
  <c r="F38" i="5"/>
  <c r="E38" i="5"/>
  <c r="D38" i="5"/>
  <c r="O38" i="5" s="1"/>
  <c r="M37" i="5"/>
  <c r="L37" i="5"/>
  <c r="K37" i="5"/>
  <c r="J37" i="5"/>
  <c r="P37" i="5" s="1"/>
  <c r="I37" i="5"/>
  <c r="H37" i="5"/>
  <c r="G37" i="5"/>
  <c r="F37" i="5"/>
  <c r="E37" i="5"/>
  <c r="D37" i="5"/>
  <c r="O37" i="5" s="1"/>
  <c r="M36" i="5"/>
  <c r="L36" i="5"/>
  <c r="K36" i="5"/>
  <c r="J36" i="5"/>
  <c r="P36" i="5" s="1"/>
  <c r="I36" i="5"/>
  <c r="H36" i="5"/>
  <c r="G36" i="5"/>
  <c r="F36" i="5"/>
  <c r="E36" i="5"/>
  <c r="D36" i="5"/>
  <c r="O36" i="5" s="1"/>
  <c r="M35" i="5"/>
  <c r="L35" i="5"/>
  <c r="K35" i="5"/>
  <c r="J35" i="5"/>
  <c r="P35" i="5" s="1"/>
  <c r="I35" i="5"/>
  <c r="H35" i="5"/>
  <c r="G35" i="5"/>
  <c r="F35" i="5"/>
  <c r="E35" i="5"/>
  <c r="D35" i="5"/>
  <c r="O35" i="5" s="1"/>
  <c r="M34" i="5"/>
  <c r="L34" i="5"/>
  <c r="K34" i="5"/>
  <c r="J34" i="5"/>
  <c r="P34" i="5" s="1"/>
  <c r="I34" i="5"/>
  <c r="H34" i="5"/>
  <c r="G34" i="5"/>
  <c r="F34" i="5"/>
  <c r="E34" i="5"/>
  <c r="D34" i="5"/>
  <c r="O34" i="5" s="1"/>
  <c r="M33" i="5"/>
  <c r="L33" i="5"/>
  <c r="K33" i="5"/>
  <c r="J33" i="5"/>
  <c r="P33" i="5" s="1"/>
  <c r="I33" i="5"/>
  <c r="H33" i="5"/>
  <c r="G33" i="5"/>
  <c r="F33" i="5"/>
  <c r="E33" i="5"/>
  <c r="D33" i="5"/>
  <c r="O33" i="5" s="1"/>
  <c r="M32" i="5"/>
  <c r="L32" i="5"/>
  <c r="K32" i="5"/>
  <c r="J32" i="5"/>
  <c r="P32" i="5" s="1"/>
  <c r="I32" i="5"/>
  <c r="H32" i="5"/>
  <c r="G32" i="5"/>
  <c r="F32" i="5"/>
  <c r="E32" i="5"/>
  <c r="D32" i="5"/>
  <c r="O32" i="5" s="1"/>
  <c r="M31" i="5"/>
  <c r="L31" i="5"/>
  <c r="K31" i="5"/>
  <c r="J31" i="5"/>
  <c r="P31" i="5" s="1"/>
  <c r="I31" i="5"/>
  <c r="H31" i="5"/>
  <c r="G31" i="5"/>
  <c r="F31" i="5"/>
  <c r="E31" i="5"/>
  <c r="D31" i="5"/>
  <c r="O31" i="5" s="1"/>
  <c r="M30" i="5"/>
  <c r="L30" i="5"/>
  <c r="K30" i="5"/>
  <c r="J30" i="5"/>
  <c r="P30" i="5" s="1"/>
  <c r="I30" i="5"/>
  <c r="H30" i="5"/>
  <c r="G30" i="5"/>
  <c r="F30" i="5"/>
  <c r="E30" i="5"/>
  <c r="D30" i="5"/>
  <c r="O30" i="5" s="1"/>
  <c r="M29" i="5"/>
  <c r="L29" i="5"/>
  <c r="K29" i="5"/>
  <c r="J29" i="5"/>
  <c r="P29" i="5" s="1"/>
  <c r="I29" i="5"/>
  <c r="H29" i="5"/>
  <c r="G29" i="5"/>
  <c r="E29" i="5"/>
  <c r="D29" i="5"/>
  <c r="O29" i="5" s="1"/>
  <c r="M28" i="5"/>
  <c r="L28" i="5"/>
  <c r="K28" i="5"/>
  <c r="J28" i="5"/>
  <c r="P28" i="5" s="1"/>
  <c r="I28" i="5"/>
  <c r="H28" i="5"/>
  <c r="G28" i="5"/>
  <c r="F28" i="5"/>
  <c r="E28" i="5"/>
  <c r="D28" i="5"/>
  <c r="O28" i="5" s="1"/>
  <c r="M27" i="5"/>
  <c r="L27" i="5"/>
  <c r="K27" i="5"/>
  <c r="J27" i="5"/>
  <c r="P27" i="5" s="1"/>
  <c r="I27" i="5"/>
  <c r="H27" i="5"/>
  <c r="G27" i="5"/>
  <c r="F27" i="5"/>
  <c r="E27" i="5"/>
  <c r="D27" i="5"/>
  <c r="O27" i="5" s="1"/>
  <c r="M26" i="5"/>
  <c r="L26" i="5"/>
  <c r="K26" i="5"/>
  <c r="J26" i="5"/>
  <c r="P26" i="5" s="1"/>
  <c r="I26" i="5"/>
  <c r="H26" i="5"/>
  <c r="G26" i="5"/>
  <c r="F26" i="5"/>
  <c r="E26" i="5"/>
  <c r="D26" i="5"/>
  <c r="O26" i="5" s="1"/>
  <c r="M25" i="5"/>
  <c r="L25" i="5"/>
  <c r="K25" i="5"/>
  <c r="J25" i="5"/>
  <c r="P25" i="5" s="1"/>
  <c r="I25" i="5"/>
  <c r="H25" i="5"/>
  <c r="G25" i="5"/>
  <c r="F25" i="5"/>
  <c r="E25" i="5"/>
  <c r="D25" i="5"/>
  <c r="O25" i="5" s="1"/>
  <c r="M24" i="5"/>
  <c r="L24" i="5"/>
  <c r="K24" i="5"/>
  <c r="J24" i="5"/>
  <c r="P24" i="5" s="1"/>
  <c r="I24" i="5"/>
  <c r="H24" i="5"/>
  <c r="G24" i="5"/>
  <c r="F24" i="5"/>
  <c r="E24" i="5"/>
  <c r="D24" i="5"/>
  <c r="O24" i="5" s="1"/>
  <c r="M23" i="5"/>
  <c r="L23" i="5"/>
  <c r="K23" i="5"/>
  <c r="J23" i="5"/>
  <c r="P23" i="5" s="1"/>
  <c r="I23" i="5"/>
  <c r="H23" i="5"/>
  <c r="G23" i="5"/>
  <c r="F23" i="5"/>
  <c r="E23" i="5"/>
  <c r="D23" i="5"/>
  <c r="O23" i="5" s="1"/>
  <c r="M21" i="5"/>
  <c r="L21" i="5"/>
  <c r="K21" i="5"/>
  <c r="J21" i="5"/>
  <c r="P21" i="5" s="1"/>
  <c r="I21" i="5"/>
  <c r="H21" i="5"/>
  <c r="G21" i="5"/>
  <c r="F21" i="5"/>
  <c r="E21" i="5"/>
  <c r="D21" i="5"/>
  <c r="O21" i="5" s="1"/>
  <c r="M17" i="5"/>
  <c r="L17" i="5"/>
  <c r="K17" i="5"/>
  <c r="J17" i="5"/>
  <c r="P17" i="5" s="1"/>
  <c r="I17" i="5"/>
  <c r="H17" i="5"/>
  <c r="G17" i="5"/>
  <c r="F17" i="5"/>
  <c r="E17" i="5"/>
  <c r="D17" i="5"/>
  <c r="O17" i="5" s="1"/>
  <c r="M8" i="5"/>
  <c r="L8" i="5"/>
  <c r="K8" i="5"/>
  <c r="J8" i="5"/>
  <c r="P8" i="5" s="1"/>
  <c r="I8" i="5"/>
  <c r="H8" i="5"/>
  <c r="G8" i="5"/>
  <c r="F8" i="5"/>
  <c r="E8" i="5"/>
  <c r="D8" i="5"/>
  <c r="O8" i="5" s="1"/>
  <c r="N142" i="5"/>
  <c r="M142" i="5"/>
  <c r="L142" i="5"/>
  <c r="N139" i="5"/>
  <c r="M139" i="5"/>
  <c r="L139" i="5"/>
  <c r="B115" i="5"/>
  <c r="B90" i="5" s="1"/>
  <c r="B43" i="5" s="1"/>
  <c r="F77" i="5"/>
  <c r="A77" i="5"/>
  <c r="K63" i="5"/>
  <c r="F63" i="5"/>
  <c r="B63" i="5"/>
  <c r="A51" i="5"/>
  <c r="A50" i="5"/>
  <c r="K49" i="5"/>
  <c r="A49" i="5"/>
  <c r="P42" i="5"/>
  <c r="O42" i="5"/>
  <c r="P41" i="5"/>
  <c r="O41" i="5"/>
  <c r="P40" i="5"/>
  <c r="O40" i="5"/>
  <c r="P39" i="5"/>
  <c r="O39" i="5"/>
  <c r="P22" i="5"/>
  <c r="O22" i="5"/>
  <c r="P20" i="5"/>
  <c r="O20" i="5"/>
  <c r="P19" i="5"/>
  <c r="O19" i="5"/>
  <c r="P18" i="5"/>
  <c r="O18" i="5"/>
  <c r="P16" i="5"/>
  <c r="O16" i="5"/>
  <c r="P15" i="5"/>
  <c r="O15" i="5"/>
  <c r="P14" i="5"/>
  <c r="O14" i="5"/>
  <c r="P13" i="5"/>
  <c r="O13" i="5"/>
  <c r="P12" i="5"/>
  <c r="O12" i="5"/>
  <c r="P11" i="5"/>
  <c r="O11" i="5"/>
  <c r="P10" i="5"/>
  <c r="O10" i="5"/>
  <c r="P9" i="5"/>
  <c r="O9" i="5"/>
  <c r="P7" i="5"/>
  <c r="O7" i="5"/>
  <c r="P6" i="5"/>
  <c r="O6" i="5"/>
  <c r="P5" i="5"/>
  <c r="O5" i="5"/>
  <c r="P4" i="5"/>
  <c r="O4" i="5"/>
  <c r="P3" i="5"/>
  <c r="O3" i="5"/>
  <c r="P2" i="5"/>
  <c r="O2" i="5"/>
  <c r="P43" i="5"/>
  <c r="P90" i="5" s="1"/>
  <c r="P153" i="5" s="1"/>
  <c r="F143" i="4"/>
  <c r="F142" i="4"/>
  <c r="F141" i="4"/>
  <c r="F140" i="4"/>
  <c r="F139" i="4"/>
  <c r="F136" i="4"/>
  <c r="F135" i="4"/>
  <c r="F134" i="4"/>
  <c r="F133" i="4"/>
  <c r="F131" i="4"/>
  <c r="F127" i="4"/>
  <c r="M42" i="4"/>
  <c r="L42" i="4"/>
  <c r="K42" i="4"/>
  <c r="J42" i="4"/>
  <c r="I42" i="4"/>
  <c r="H42" i="4"/>
  <c r="G42" i="4"/>
  <c r="F42" i="4"/>
  <c r="E42" i="4"/>
  <c r="M41" i="4"/>
  <c r="L41" i="4"/>
  <c r="K41" i="4"/>
  <c r="J41" i="4"/>
  <c r="I41" i="4"/>
  <c r="M40" i="4"/>
  <c r="L40" i="4"/>
  <c r="K40" i="4"/>
  <c r="J40" i="4"/>
  <c r="I40" i="4"/>
  <c r="H40" i="4"/>
  <c r="G40" i="4"/>
  <c r="E40" i="4"/>
  <c r="M39" i="4"/>
  <c r="L39" i="4"/>
  <c r="K39" i="4"/>
  <c r="J39" i="4"/>
  <c r="I39" i="4"/>
  <c r="G39" i="4"/>
  <c r="F39" i="4"/>
  <c r="E39" i="4"/>
  <c r="M38" i="4"/>
  <c r="L38" i="4"/>
  <c r="K38" i="4"/>
  <c r="J38" i="4"/>
  <c r="P38" i="4" s="1"/>
  <c r="I38" i="4"/>
  <c r="H38" i="4"/>
  <c r="G38" i="4"/>
  <c r="F38" i="4"/>
  <c r="E38" i="4"/>
  <c r="D38" i="4"/>
  <c r="O38" i="4" s="1"/>
  <c r="M37" i="4"/>
  <c r="L37" i="4"/>
  <c r="K37" i="4"/>
  <c r="J37" i="4"/>
  <c r="P37" i="4" s="1"/>
  <c r="I37" i="4"/>
  <c r="H37" i="4"/>
  <c r="G37" i="4"/>
  <c r="F37" i="4"/>
  <c r="E37" i="4"/>
  <c r="D37" i="4"/>
  <c r="O37" i="4" s="1"/>
  <c r="M36" i="4"/>
  <c r="L36" i="4"/>
  <c r="K36" i="4"/>
  <c r="J36" i="4"/>
  <c r="P36" i="4" s="1"/>
  <c r="I36" i="4"/>
  <c r="H36" i="4"/>
  <c r="G36" i="4"/>
  <c r="F36" i="4"/>
  <c r="E36" i="4"/>
  <c r="D36" i="4"/>
  <c r="O36" i="4" s="1"/>
  <c r="M35" i="4"/>
  <c r="L35" i="4"/>
  <c r="K35" i="4"/>
  <c r="J35" i="4"/>
  <c r="P35" i="4" s="1"/>
  <c r="I35" i="4"/>
  <c r="H35" i="4"/>
  <c r="G35" i="4"/>
  <c r="F35" i="4"/>
  <c r="E35" i="4"/>
  <c r="D35" i="4"/>
  <c r="O35" i="4" s="1"/>
  <c r="M34" i="4"/>
  <c r="L34" i="4"/>
  <c r="K34" i="4"/>
  <c r="J34" i="4"/>
  <c r="P34" i="4" s="1"/>
  <c r="I34" i="4"/>
  <c r="H34" i="4"/>
  <c r="G34" i="4"/>
  <c r="F34" i="4"/>
  <c r="E34" i="4"/>
  <c r="D34" i="4"/>
  <c r="O34" i="4" s="1"/>
  <c r="M33" i="4"/>
  <c r="L33" i="4"/>
  <c r="K33" i="4"/>
  <c r="J33" i="4"/>
  <c r="P33" i="4" s="1"/>
  <c r="I33" i="4"/>
  <c r="H33" i="4"/>
  <c r="G33" i="4"/>
  <c r="F33" i="4"/>
  <c r="E33" i="4"/>
  <c r="D33" i="4"/>
  <c r="O33" i="4" s="1"/>
  <c r="M32" i="4"/>
  <c r="L32" i="4"/>
  <c r="K32" i="4"/>
  <c r="J32" i="4"/>
  <c r="P32" i="4" s="1"/>
  <c r="I32" i="4"/>
  <c r="H32" i="4"/>
  <c r="G32" i="4"/>
  <c r="F32" i="4"/>
  <c r="E32" i="4"/>
  <c r="D32" i="4"/>
  <c r="O32" i="4" s="1"/>
  <c r="M31" i="4"/>
  <c r="L31" i="4"/>
  <c r="K31" i="4"/>
  <c r="J31" i="4"/>
  <c r="P31" i="4" s="1"/>
  <c r="I31" i="4"/>
  <c r="H31" i="4"/>
  <c r="G31" i="4"/>
  <c r="F31" i="4"/>
  <c r="E31" i="4"/>
  <c r="D31" i="4"/>
  <c r="O31" i="4" s="1"/>
  <c r="M30" i="4"/>
  <c r="L30" i="4"/>
  <c r="K30" i="4"/>
  <c r="J30" i="4"/>
  <c r="P30" i="4" s="1"/>
  <c r="I30" i="4"/>
  <c r="H30" i="4"/>
  <c r="G30" i="4"/>
  <c r="F30" i="4"/>
  <c r="E30" i="4"/>
  <c r="D30" i="4"/>
  <c r="O30" i="4" s="1"/>
  <c r="M29" i="4"/>
  <c r="L29" i="4"/>
  <c r="K29" i="4"/>
  <c r="J29" i="4"/>
  <c r="P29" i="4" s="1"/>
  <c r="I29" i="4"/>
  <c r="F29" i="4"/>
  <c r="E29" i="4"/>
  <c r="D29" i="4"/>
  <c r="O29" i="4" s="1"/>
  <c r="M28" i="4"/>
  <c r="L28" i="4"/>
  <c r="K28" i="4"/>
  <c r="J28" i="4"/>
  <c r="P28" i="4" s="1"/>
  <c r="I28" i="4"/>
  <c r="H28" i="4"/>
  <c r="G28" i="4"/>
  <c r="F28" i="4"/>
  <c r="E28" i="4"/>
  <c r="D28" i="4"/>
  <c r="O28" i="4" s="1"/>
  <c r="M27" i="4"/>
  <c r="L27" i="4"/>
  <c r="K27" i="4"/>
  <c r="J27" i="4"/>
  <c r="P27" i="4" s="1"/>
  <c r="I27" i="4"/>
  <c r="H27" i="4"/>
  <c r="G27" i="4"/>
  <c r="F27" i="4"/>
  <c r="E27" i="4"/>
  <c r="D27" i="4"/>
  <c r="O27" i="4" s="1"/>
  <c r="M26" i="4"/>
  <c r="L26" i="4"/>
  <c r="K26" i="4"/>
  <c r="J26" i="4"/>
  <c r="P26" i="4" s="1"/>
  <c r="I26" i="4"/>
  <c r="H26" i="4"/>
  <c r="G26" i="4"/>
  <c r="F26" i="4"/>
  <c r="E26" i="4"/>
  <c r="D26" i="4"/>
  <c r="M25" i="4"/>
  <c r="L25" i="4"/>
  <c r="K25" i="4"/>
  <c r="J25" i="4"/>
  <c r="P25" i="4" s="1"/>
  <c r="I25" i="4"/>
  <c r="H25" i="4"/>
  <c r="G25" i="4"/>
  <c r="F25" i="4"/>
  <c r="E25" i="4"/>
  <c r="D25" i="4"/>
  <c r="O25" i="4" s="1"/>
  <c r="M24" i="4"/>
  <c r="L24" i="4"/>
  <c r="K24" i="4"/>
  <c r="J24" i="4"/>
  <c r="P24" i="4" s="1"/>
  <c r="I24" i="4"/>
  <c r="H24" i="4"/>
  <c r="G24" i="4"/>
  <c r="F24" i="4"/>
  <c r="E24" i="4"/>
  <c r="D24" i="4"/>
  <c r="O24" i="4" s="1"/>
  <c r="M23" i="4"/>
  <c r="L23" i="4"/>
  <c r="K23" i="4"/>
  <c r="J23" i="4"/>
  <c r="P23" i="4" s="1"/>
  <c r="I23" i="4"/>
  <c r="H23" i="4"/>
  <c r="G23" i="4"/>
  <c r="F23" i="4"/>
  <c r="E23" i="4"/>
  <c r="D23" i="4"/>
  <c r="O23" i="4" s="1"/>
  <c r="M21" i="4"/>
  <c r="L21" i="4"/>
  <c r="K21" i="4"/>
  <c r="J21" i="4"/>
  <c r="P21" i="4" s="1"/>
  <c r="I21" i="4"/>
  <c r="H21" i="4"/>
  <c r="G21" i="4"/>
  <c r="F21" i="4"/>
  <c r="E21" i="4"/>
  <c r="D21" i="4"/>
  <c r="O21" i="4" s="1"/>
  <c r="M17" i="4"/>
  <c r="L17" i="4"/>
  <c r="K17" i="4"/>
  <c r="J17" i="4"/>
  <c r="P17" i="4" s="1"/>
  <c r="I17" i="4"/>
  <c r="H17" i="4"/>
  <c r="G17" i="4"/>
  <c r="F17" i="4"/>
  <c r="E17" i="4"/>
  <c r="D17" i="4"/>
  <c r="O17" i="4" s="1"/>
  <c r="M8" i="4"/>
  <c r="L8" i="4"/>
  <c r="K8" i="4"/>
  <c r="J8" i="4"/>
  <c r="P8" i="4" s="1"/>
  <c r="I8" i="4"/>
  <c r="H8" i="4"/>
  <c r="G8" i="4"/>
  <c r="F8" i="4"/>
  <c r="E8" i="4"/>
  <c r="D8" i="4"/>
  <c r="O8" i="4" s="1"/>
  <c r="N142" i="4"/>
  <c r="M142" i="4"/>
  <c r="M144" i="4" s="1"/>
  <c r="L142" i="4"/>
  <c r="L144" i="4" s="1"/>
  <c r="N141" i="4"/>
  <c r="M141" i="4"/>
  <c r="L141" i="4"/>
  <c r="N140" i="4"/>
  <c r="M140" i="4"/>
  <c r="M143" i="4" s="1"/>
  <c r="L140" i="4"/>
  <c r="N139" i="4"/>
  <c r="M139" i="4"/>
  <c r="L139" i="4"/>
  <c r="B115" i="4"/>
  <c r="S90" i="4" s="1"/>
  <c r="F115" i="4" s="1"/>
  <c r="B153" i="4" s="1"/>
  <c r="F77" i="4"/>
  <c r="A77" i="4"/>
  <c r="K63" i="4"/>
  <c r="F63" i="4"/>
  <c r="B63" i="4"/>
  <c r="A51" i="4"/>
  <c r="A50" i="4"/>
  <c r="K49" i="4"/>
  <c r="A49" i="4"/>
  <c r="P42" i="4"/>
  <c r="O42" i="4"/>
  <c r="P41" i="4"/>
  <c r="O41" i="4"/>
  <c r="P40" i="4"/>
  <c r="O40" i="4"/>
  <c r="P39" i="4"/>
  <c r="O39" i="4"/>
  <c r="P22" i="4"/>
  <c r="O22" i="4"/>
  <c r="P20" i="4"/>
  <c r="O20" i="4"/>
  <c r="P19" i="4"/>
  <c r="O19" i="4"/>
  <c r="P18" i="4"/>
  <c r="O18" i="4"/>
  <c r="P16" i="4"/>
  <c r="O16" i="4"/>
  <c r="P15" i="4"/>
  <c r="O15" i="4"/>
  <c r="P14" i="4"/>
  <c r="O14" i="4"/>
  <c r="P13" i="4"/>
  <c r="O13" i="4"/>
  <c r="P12" i="4"/>
  <c r="O12" i="4"/>
  <c r="P11" i="4"/>
  <c r="O11" i="4"/>
  <c r="P10" i="4"/>
  <c r="O10" i="4"/>
  <c r="P9" i="4"/>
  <c r="O9" i="4"/>
  <c r="P7" i="4"/>
  <c r="O7" i="4"/>
  <c r="P6" i="4"/>
  <c r="O6" i="4"/>
  <c r="P5" i="4"/>
  <c r="O5" i="4"/>
  <c r="P4" i="4"/>
  <c r="O4" i="4"/>
  <c r="P3" i="4"/>
  <c r="O3" i="4"/>
  <c r="P2" i="4"/>
  <c r="O2" i="4"/>
  <c r="P43" i="4"/>
  <c r="P90" i="4" s="1"/>
  <c r="P153" i="4" s="1"/>
  <c r="N144" i="36" l="1"/>
  <c r="L143" i="36"/>
  <c r="N143" i="36"/>
  <c r="M143" i="36"/>
  <c r="M144" i="36"/>
  <c r="B90" i="36"/>
  <c r="B43" i="36" s="1"/>
  <c r="L143" i="35"/>
  <c r="M143" i="35"/>
  <c r="M144" i="35"/>
  <c r="L144" i="35"/>
  <c r="N143" i="35"/>
  <c r="N144" i="35"/>
  <c r="O37" i="35"/>
  <c r="B90" i="35"/>
  <c r="B43" i="35" s="1"/>
  <c r="O27" i="35"/>
  <c r="L143" i="34"/>
  <c r="M143" i="34"/>
  <c r="L144" i="34"/>
  <c r="M144" i="34"/>
  <c r="N143" i="34"/>
  <c r="N144" i="34"/>
  <c r="B90" i="34"/>
  <c r="B43" i="34" s="1"/>
  <c r="O27" i="34"/>
  <c r="M144" i="33"/>
  <c r="N144" i="33"/>
  <c r="L144" i="33"/>
  <c r="M143" i="33"/>
  <c r="N143" i="33"/>
  <c r="L143" i="33"/>
  <c r="S90" i="33"/>
  <c r="F115" i="33" s="1"/>
  <c r="B153" i="33" s="1"/>
  <c r="O26" i="33"/>
  <c r="M143" i="32"/>
  <c r="N144" i="32"/>
  <c r="L144" i="32"/>
  <c r="L143" i="32"/>
  <c r="N143" i="32"/>
  <c r="M144" i="32"/>
  <c r="B90" i="32"/>
  <c r="B43" i="32" s="1"/>
  <c r="N144" i="31"/>
  <c r="M144" i="31"/>
  <c r="L144" i="31"/>
  <c r="N143" i="31"/>
  <c r="M143" i="31"/>
  <c r="L143" i="31"/>
  <c r="O37" i="31"/>
  <c r="B90" i="31"/>
  <c r="B43" i="31" s="1"/>
  <c r="O27" i="31"/>
  <c r="N144" i="30"/>
  <c r="L144" i="30"/>
  <c r="M144" i="30"/>
  <c r="N143" i="30"/>
  <c r="M143" i="30"/>
  <c r="L143" i="30"/>
  <c r="B90" i="30"/>
  <c r="B43" i="30" s="1"/>
  <c r="L144" i="29"/>
  <c r="N143" i="29"/>
  <c r="M143" i="29"/>
  <c r="L143" i="29"/>
  <c r="N144" i="29"/>
  <c r="M144" i="29"/>
  <c r="B90" i="29"/>
  <c r="B43" i="29" s="1"/>
  <c r="N143" i="28"/>
  <c r="M144" i="28"/>
  <c r="N144" i="28"/>
  <c r="L143" i="28"/>
  <c r="M143" i="28"/>
  <c r="L144" i="28"/>
  <c r="O37" i="28"/>
  <c r="B90" i="28"/>
  <c r="B43" i="28" s="1"/>
  <c r="O27" i="28"/>
  <c r="L143" i="27"/>
  <c r="M144" i="27"/>
  <c r="N143" i="27"/>
  <c r="M143" i="27"/>
  <c r="L144" i="27"/>
  <c r="S90" i="27"/>
  <c r="F115" i="27" s="1"/>
  <c r="B153" i="27" s="1"/>
  <c r="N144" i="27"/>
  <c r="O27" i="27"/>
  <c r="L144" i="26"/>
  <c r="M143" i="26"/>
  <c r="N143" i="26"/>
  <c r="M144" i="26"/>
  <c r="L143" i="26"/>
  <c r="N144" i="26"/>
  <c r="S90" i="26"/>
  <c r="F115" i="26" s="1"/>
  <c r="B153" i="26" s="1"/>
  <c r="O27" i="26"/>
  <c r="N144" i="25"/>
  <c r="L144" i="25"/>
  <c r="N143" i="25"/>
  <c r="L143" i="25"/>
  <c r="M143" i="25"/>
  <c r="M144" i="25"/>
  <c r="B90" i="25"/>
  <c r="B43" i="25" s="1"/>
  <c r="M143" i="23"/>
  <c r="N144" i="23"/>
  <c r="L144" i="23"/>
  <c r="N143" i="23"/>
  <c r="M144" i="23"/>
  <c r="B90" i="23"/>
  <c r="B43" i="23" s="1"/>
  <c r="L143" i="22"/>
  <c r="N144" i="22"/>
  <c r="M143" i="22"/>
  <c r="N143" i="22"/>
  <c r="L144" i="22"/>
  <c r="M144" i="22"/>
  <c r="B90" i="22"/>
  <c r="B43" i="22" s="1"/>
  <c r="M143" i="21"/>
  <c r="L144" i="21"/>
  <c r="N143" i="21"/>
  <c r="N144" i="21"/>
  <c r="M144" i="21"/>
  <c r="B90" i="21"/>
  <c r="B43" i="21" s="1"/>
  <c r="L143" i="21"/>
  <c r="L144" i="20"/>
  <c r="N144" i="20"/>
  <c r="L143" i="20"/>
  <c r="M143" i="20"/>
  <c r="N143" i="20"/>
  <c r="M144" i="20"/>
  <c r="B90" i="20"/>
  <c r="B43" i="20" s="1"/>
  <c r="O27" i="20"/>
  <c r="N144" i="19"/>
  <c r="M144" i="19"/>
  <c r="L144" i="19"/>
  <c r="N143" i="19"/>
  <c r="M143" i="19"/>
  <c r="L143" i="19"/>
  <c r="B90" i="19"/>
  <c r="B43" i="19" s="1"/>
  <c r="O27" i="19"/>
  <c r="N144" i="18"/>
  <c r="L144" i="18"/>
  <c r="M144" i="18"/>
  <c r="N143" i="18"/>
  <c r="M143" i="18"/>
  <c r="L143" i="18"/>
  <c r="B90" i="18"/>
  <c r="B43" i="18" s="1"/>
  <c r="M143" i="17"/>
  <c r="L144" i="17"/>
  <c r="N143" i="17"/>
  <c r="N144" i="17"/>
  <c r="M144" i="17"/>
  <c r="L143" i="17"/>
  <c r="B90" i="17"/>
  <c r="B43" i="17" s="1"/>
  <c r="O27" i="17"/>
  <c r="M144" i="16"/>
  <c r="N144" i="16"/>
  <c r="L144" i="16"/>
  <c r="M143" i="16"/>
  <c r="N143" i="16"/>
  <c r="B90" i="16"/>
  <c r="B43" i="16" s="1"/>
  <c r="O37" i="16"/>
  <c r="N144" i="15"/>
  <c r="L143" i="15"/>
  <c r="B90" i="15"/>
  <c r="B43" i="15" s="1"/>
  <c r="O27" i="15"/>
  <c r="M143" i="13"/>
  <c r="L144" i="13"/>
  <c r="L143" i="13"/>
  <c r="N143" i="13"/>
  <c r="M144" i="13"/>
  <c r="N144" i="13"/>
  <c r="O26" i="13"/>
  <c r="B90" i="13"/>
  <c r="B43" i="13" s="1"/>
  <c r="N144" i="12"/>
  <c r="M144" i="12"/>
  <c r="L143" i="12"/>
  <c r="N143" i="12"/>
  <c r="L144" i="12"/>
  <c r="M143" i="12"/>
  <c r="B90" i="12"/>
  <c r="B43" i="12" s="1"/>
  <c r="O27" i="12"/>
  <c r="L143" i="11"/>
  <c r="N144" i="11"/>
  <c r="M143" i="11"/>
  <c r="L144" i="11"/>
  <c r="N143" i="11"/>
  <c r="M144" i="11"/>
  <c r="S90" i="11"/>
  <c r="F115" i="11" s="1"/>
  <c r="B153" i="11" s="1"/>
  <c r="N143" i="9"/>
  <c r="L143" i="9"/>
  <c r="N144" i="9"/>
  <c r="M144" i="9"/>
  <c r="M143" i="9"/>
  <c r="L144" i="9"/>
  <c r="O37" i="9"/>
  <c r="B90" i="9"/>
  <c r="B43" i="9" s="1"/>
  <c r="N143" i="8"/>
  <c r="N144" i="8"/>
  <c r="M143" i="8"/>
  <c r="M144" i="8"/>
  <c r="L143" i="8"/>
  <c r="L144" i="8"/>
  <c r="B90" i="8"/>
  <c r="B43" i="8" s="1"/>
  <c r="O27" i="8"/>
  <c r="L144" i="7"/>
  <c r="L143" i="7"/>
  <c r="N144" i="7"/>
  <c r="M143" i="7"/>
  <c r="N143" i="7"/>
  <c r="M144" i="7"/>
  <c r="B90" i="7"/>
  <c r="B43" i="7" s="1"/>
  <c r="M144" i="6"/>
  <c r="N144" i="6"/>
  <c r="M143" i="6"/>
  <c r="L143" i="6"/>
  <c r="N143" i="6"/>
  <c r="L144" i="6"/>
  <c r="O26" i="6"/>
  <c r="B90" i="6"/>
  <c r="B43" i="6" s="1"/>
  <c r="N144" i="5"/>
  <c r="L144" i="5"/>
  <c r="L143" i="5"/>
  <c r="M143" i="5"/>
  <c r="N143" i="5"/>
  <c r="M144" i="5"/>
  <c r="S90" i="5"/>
  <c r="F115" i="5" s="1"/>
  <c r="B153" i="5" s="1"/>
  <c r="L143" i="4"/>
  <c r="N143" i="4"/>
  <c r="N144" i="4"/>
  <c r="O26" i="4"/>
  <c r="B90" i="4"/>
  <c r="B43" i="4" s="1"/>
</calcChain>
</file>

<file path=xl/sharedStrings.xml><?xml version="1.0" encoding="utf-8"?>
<sst xmlns="http://schemas.openxmlformats.org/spreadsheetml/2006/main" count="5622" uniqueCount="655">
  <si>
    <t>Contents</t>
  </si>
  <si>
    <t>Notes</t>
  </si>
  <si>
    <t>Highlights</t>
  </si>
  <si>
    <t>Summary 2021</t>
  </si>
  <si>
    <t>Summary 2022</t>
  </si>
  <si>
    <t>Segmentation Criteria</t>
  </si>
  <si>
    <t>Sample rates</t>
  </si>
  <si>
    <t>Operating profit margin</t>
  </si>
  <si>
    <t>Net profit margin</t>
  </si>
  <si>
    <t>Segments in this document:</t>
  </si>
  <si>
    <t>Area VIIA demersal trawl</t>
  </si>
  <si>
    <t>Area VIIA nephrops over 250kW</t>
  </si>
  <si>
    <t>Area VIIA nephrops under 250kW</t>
  </si>
  <si>
    <t>Area VIIBCDEFGHK 24-40m</t>
  </si>
  <si>
    <t>Area VIIBCDEFGHK trawlers 10-24m</t>
  </si>
  <si>
    <t>Gill netters</t>
  </si>
  <si>
    <t>Longliners</t>
  </si>
  <si>
    <t>Low activity over 10m</t>
  </si>
  <si>
    <t>Low activity under 10m</t>
  </si>
  <si>
    <t>North Sea beam trawl over 300kW</t>
  </si>
  <si>
    <t>North Sea beam trawl under 300kW</t>
  </si>
  <si>
    <t>North Sea nephrops over 300kW</t>
  </si>
  <si>
    <t>North Sea nephrops under 300kW</t>
  </si>
  <si>
    <t>NSWOS demersal over 24m</t>
  </si>
  <si>
    <t>NSWOS demersal pair trawl seine</t>
  </si>
  <si>
    <t>NSWOS demersal seiners</t>
  </si>
  <si>
    <t>NSWOS demersal under 24m over 300kW</t>
  </si>
  <si>
    <t>NSWOS demersal under 24m under 300kW</t>
  </si>
  <si>
    <t>Pots and traps 10-12m</t>
  </si>
  <si>
    <t>Pots and traps over 12m</t>
  </si>
  <si>
    <t>South West beamers over 250kW</t>
  </si>
  <si>
    <t>South West beamers under 250kW</t>
  </si>
  <si>
    <t>UK scallop dredge over 15m</t>
  </si>
  <si>
    <t>UK scallop dredge under 15m</t>
  </si>
  <si>
    <t>Under 10m demersal trawl/seine</t>
  </si>
  <si>
    <t>Under 10m drift and/or fixed nets</t>
  </si>
  <si>
    <t>Under 10m pots and traps</t>
  </si>
  <si>
    <t>Under 10m using hooks</t>
  </si>
  <si>
    <t>WOS nephrops over 250kW</t>
  </si>
  <si>
    <t>WOS nephrops under 250kW</t>
  </si>
  <si>
    <t>Seafish fleet economic performance dataset 2011 - 2021</t>
  </si>
  <si>
    <t>Back to
home page</t>
  </si>
  <si>
    <t>This dataset contains financial, economic and operational performance indicators for approximately 30 UK fleet segments for the period 2012-2022.  2022 estimates are based on provisional official activity and landings statistics so should be considered as provisional estimates.  Once vessel accounts for 2022 have been collected and official data finalised, Seafish will publish new estimates for the year.</t>
  </si>
  <si>
    <t>How to use the dataset</t>
  </si>
  <si>
    <t xml:space="preserve">For each of the 30 UK fleet segments we have produced one table and nine graphs. </t>
  </si>
  <si>
    <t>Each table has four main sections (Segment totals, Vessel characteristics (average per vessel), productivity indicators and income, costs and profits (average per vessel)).</t>
  </si>
  <si>
    <t xml:space="preserve">Financial values are available as nominal and adjusted to 2022 values. The orange button on the top line allows you to switch between the two. Graphs and trend lines will adjust automatically. </t>
  </si>
  <si>
    <t xml:space="preserve">Adjusted values are calculated using Gross Domestic Product deflators consistent with DEFRA publications. Further details on this method can be found on the HM Treasury website (https://www.gov.uk/government/collections/gdp-deflators-at-market-prices-and-money-gdp). </t>
  </si>
  <si>
    <t>Quartiles</t>
  </si>
  <si>
    <t>For most segments we have produced a table that details the characteristics of the most and least profitable quartile (by operating profit margin) as well as the two quartiles inbetween.</t>
  </si>
  <si>
    <t>These tables are accompanied by three graphs.</t>
  </si>
  <si>
    <t xml:space="preserve">If a quartile is made-up of less than five vessels we are unable to publish said data due to confidentiality rules. </t>
  </si>
  <si>
    <t>Methodology</t>
  </si>
  <si>
    <t>Seafish produces the dataset by combining costs and earnings information from vessel accounts provide by vessel owners to the annual Seafish UK Fleet Survey with official effort, landings and capacity data for all active UK fishing vessels provided by the UK Marine Management Organisation (MMO).</t>
  </si>
  <si>
    <t>The outputs for all years are produced using a consistent methodology and fleet segmentation criteria so that trends in key indicators can be observed over time.  Note that vessels can be in different segments in different years if they change their gear, area or target species.</t>
  </si>
  <si>
    <t>First developed in 2008, the methodology was used to produce single year estimates that were reported in the 2008, 2009 and 2010 Seafish economic survey reports of the UK fishing fleet.</t>
  </si>
  <si>
    <t>The methodology was again revised in February 2013. The revision involved changing the way that the sample cost structure for each fleet segment was calculated, resulting in a more robust approach when dealing with outlying (far from average) cost data.</t>
  </si>
  <si>
    <t xml:space="preserve">This is a summary of the method we used to estimate the earnings, cost structure and profits of the UK fleet and fleet segments:                                                                                                           </t>
  </si>
  <si>
    <t xml:space="preserve">1. The UK fleet is stratified into approximately 30 relatively homogeneous fleet segments using MMO data on capacity, effort and landings for each vessel (see segmentation criteria worksheet). </t>
  </si>
  <si>
    <t xml:space="preserve">2. Seafish uses a self-selecting stratified sampling approach to obtain an adequate sample size of vessel financial accounts for each fleet segment. </t>
  </si>
  <si>
    <t>3. Costs and earnings data from vessel accounts are allocated to particular fleet segments following the segmentation procedure, giving approximately 30 costs and earnings segment samples. Sample sizes for vessel accounts in each fleet segment and each year can be found at the end of this workbook.</t>
  </si>
  <si>
    <t xml:space="preserve">4. To estimate the cost structure of all vessels in each fleet segment, we:                                                                                                                                                                                                                                                                                                                                  </t>
  </si>
  <si>
    <t xml:space="preserve">a) add together the individual cost and earnings items from vessel accounts within each segment sample to create a 'combined segment sample cost structure'. </t>
  </si>
  <si>
    <t xml:space="preserve">b) calculate the sum of each cost item in the 'combined segment sample cost structure' as a proportion of the sum of fishing income e.g. sum of gear cost is 10% of sum of fishing income, sum of commission is 3% of sum of fishing income etc.       </t>
  </si>
  <si>
    <t xml:space="preserve">c) calculate fuel costs and crew costs differently from the other costs. For crew share, we give a minimum £100 per day in instances where the actual observed amount within the 'combined segment sample cost structure' is lower. For fuel costs, the capacity (VCUs) and monthly fishing effort (days at sea) of each vessel are used to estimate monthly fuel consumption in litres, which is then combined with the average monthly red diesel price (excluding duty) to calculate the fuel cost estimates for each vessel. </t>
  </si>
  <si>
    <t>d) Following calculation of fuel cost and crew share, we apply the proportions from all the other costs within the 'combined segment sample cost structure' to the official declared fishing income for each vessel within each fleet segment, which enables use to calculate Gross Value Added, operating profit and net profit for each vessel.</t>
  </si>
  <si>
    <t>5. UK fleet totals and fleet segment totals and averages are then calculated from the estimates produced for each vessel.</t>
  </si>
  <si>
    <t>Where we have low sample size for a particular segment in a particular year we take into account previous years' estimates along with the reference year fuel price data to estimate costs.</t>
  </si>
  <si>
    <t>FTE Methodology</t>
  </si>
  <si>
    <t>Estimation of employment is based on the survey data collected from vessel owners during summer 2022 combined with MMO employment data. This provides details on the number of engaged crew both full-time and part-time. This sample information is then used to estimate total engaged crew based on the physical characteristics of the individual vessel and the vessels level of activity. Once total engaged crew has been estimated for all types of vessel in the UK fleet, FTE jobs are estimated based on the national and harmonised definitions.</t>
  </si>
  <si>
    <t>Data for the years 2012-2021 are estimates based on same year costs and earnings samples collected by Seafish. Data for 2022 are estimates using provisional official statistics on landings, capacity and effort, along with 2022 fuel price and previous years' cost structures. Therefore, 2022 estimates should be considered preliminary estimates. Seafish will revise these estimates when sufficient 2022 costs and earnings sample data are available later in the year.</t>
  </si>
  <si>
    <t xml:space="preserve">All the costs and profits data contained within these worksheets are Seafish estimates based on the latest available data. Additional vessel accounts data for latter years may become available and be incorporated into future analyses. </t>
  </si>
  <si>
    <t>Seafish 2012 to 2022 fleet economic data set Highlights</t>
  </si>
  <si>
    <t xml:space="preserve">Nb. 2022 estimates are based on provisional official data for 2022, 2022 fuel prices and 2021 cost structure derived from 2021 vessel accounts submitted to Seafish.  </t>
  </si>
  <si>
    <t>NOTE: All figures remarked upon above are nominal and not adjusted for inflation.</t>
  </si>
  <si>
    <t xml:space="preserve">Qualifying criteria for Seafish fleet segments </t>
  </si>
  <si>
    <t>Seafish Segments</t>
  </si>
  <si>
    <t>Main Area</t>
  </si>
  <si>
    <t>Main DAS Gear</t>
  </si>
  <si>
    <t>Main Species by value</t>
  </si>
  <si>
    <t>Main Gear Type</t>
  </si>
  <si>
    <t>Power Main Engine</t>
  </si>
  <si>
    <t>Vessel Length</t>
  </si>
  <si>
    <t>Value of landings</t>
  </si>
  <si>
    <t>Area VIIA demersal trawl over 10m</t>
  </si>
  <si>
    <t>VIIA</t>
  </si>
  <si>
    <t>Demersal trawls and seines</t>
  </si>
  <si>
    <t>&gt;= 10m</t>
  </si>
  <si>
    <t xml:space="preserve">Nephrops </t>
  </si>
  <si>
    <t>&gt;= 250 kW</t>
  </si>
  <si>
    <t>&lt;250 kW</t>
  </si>
  <si>
    <t>Area VIIb-k trawlers 10-24m</t>
  </si>
  <si>
    <t>VIIDE, VIIFG, VII other</t>
  </si>
  <si>
    <t>Not Nephrops</t>
  </si>
  <si>
    <t>&gt;= 10m &amp; &lt;24m</t>
  </si>
  <si>
    <t>Area VIIb-k trawlers 24-40m</t>
  </si>
  <si>
    <t>&gt;= 24m &amp; &lt;40m</t>
  </si>
  <si>
    <t xml:space="preserve">UK Gill netters over 10m </t>
  </si>
  <si>
    <t>Drift Nets and Fixed Nets</t>
  </si>
  <si>
    <t>UK Longliners over 10m</t>
  </si>
  <si>
    <t>Gears using hooks</t>
  </si>
  <si>
    <t>Low activity vessels over 10m</t>
  </si>
  <si>
    <t>&lt; £10,000</t>
  </si>
  <si>
    <t>Low activity vessels under 10m</t>
  </si>
  <si>
    <t>&lt; 10m</t>
  </si>
  <si>
    <t>Miscellaneous vessels over 10m</t>
  </si>
  <si>
    <t>NS</t>
  </si>
  <si>
    <t>Beam Trawl</t>
  </si>
  <si>
    <t>&gt;= 300 kW</t>
  </si>
  <si>
    <t>&lt; 300 kW</t>
  </si>
  <si>
    <t>North Sea nephrops trawl over 300kW</t>
  </si>
  <si>
    <t>North Sea nephrops trawl under 300kW</t>
  </si>
  <si>
    <t>North Sea and West of Scotland demersal trawl over 24m</t>
  </si>
  <si>
    <t>NS, WoS</t>
  </si>
  <si>
    <t>&gt;= 24m</t>
  </si>
  <si>
    <t>North Sea and West of Scotland demersal pair trawls and seines</t>
  </si>
  <si>
    <t>Paired Trawl</t>
  </si>
  <si>
    <t>North Sea and West of Scotland demersal seiners</t>
  </si>
  <si>
    <t>Scottish Seiner</t>
  </si>
  <si>
    <t>North Sea and West of Scotland demersal trawl under 24m, over 300kW</t>
  </si>
  <si>
    <t>North Sea and West of Scotland demersal trawl under 24m, under 300kW</t>
  </si>
  <si>
    <t>UK pelagic trawl over 40m</t>
  </si>
  <si>
    <t>Pelagic: Trawl, Seiner / Purse Seiner</t>
  </si>
  <si>
    <t>Mackerel</t>
  </si>
  <si>
    <t>&gt;= 40m</t>
  </si>
  <si>
    <t>UK pots and traps 10m-12m</t>
  </si>
  <si>
    <t>Pots and Traps</t>
  </si>
  <si>
    <t>&gt;= 10m &amp; &lt;12m</t>
  </si>
  <si>
    <t>UK Pots and traps over 12m</t>
  </si>
  <si>
    <t>&gt;= 12m</t>
  </si>
  <si>
    <t xml:space="preserve">South West beam trawl under 250kW </t>
  </si>
  <si>
    <t>&lt; 250 kW</t>
  </si>
  <si>
    <t>South West beam trawl over 250kW</t>
  </si>
  <si>
    <t>UK demersal trawls and seines under 10m</t>
  </si>
  <si>
    <t>UK drift and fixed nets under 10m</t>
  </si>
  <si>
    <t>UK pots and traps under 10m</t>
  </si>
  <si>
    <t>UK hooks under 10m</t>
  </si>
  <si>
    <t>West of Scotland nephrops trawl over 250kW</t>
  </si>
  <si>
    <t>WoS</t>
  </si>
  <si>
    <t>West of Scotland nephrops trawl under 250kW</t>
  </si>
  <si>
    <t>Dredges</t>
  </si>
  <si>
    <t>Scallops, queen scallops, cockles</t>
  </si>
  <si>
    <t>&gt;= 15m</t>
  </si>
  <si>
    <t>&lt;= 15m</t>
  </si>
  <si>
    <t>Summary Table</t>
  </si>
  <si>
    <t>2021 data only</t>
  </si>
  <si>
    <t>Fleet segment</t>
  </si>
  <si>
    <t>Main stock by value</t>
  </si>
  <si>
    <t>No. Vessels</t>
  </si>
  <si>
    <t>Average days at sea per vessel</t>
  </si>
  <si>
    <t>Total landings (tonnes)</t>
  </si>
  <si>
    <t>Landing per kW day at sea (kg)</t>
  </si>
  <si>
    <t>Income per kW day at sea (£)</t>
  </si>
  <si>
    <t>Total cost per kW day at sea (£)</t>
  </si>
  <si>
    <t>Operating profit per kW day at sea (£)</t>
  </si>
  <si>
    <t>Landing per kW day at sea
2012-2021
(% change)</t>
  </si>
  <si>
    <t>Haddock</t>
  </si>
  <si>
    <t>ô</t>
  </si>
  <si>
    <t>ø</t>
  </si>
  <si>
    <t>Nephrops</t>
  </si>
  <si>
    <t>ö</t>
  </si>
  <si>
    <t>Anglerfish</t>
  </si>
  <si>
    <t>Lemon Sole</t>
  </si>
  <si>
    <t>Inactive</t>
  </si>
  <si>
    <t xml:space="preserve"> </t>
  </si>
  <si>
    <t>Hake</t>
  </si>
  <si>
    <t>Lobsters</t>
  </si>
  <si>
    <t>Miscellaneous</t>
  </si>
  <si>
    <t>Cod</t>
  </si>
  <si>
    <t>Plaice</t>
  </si>
  <si>
    <t>Brown Shrimps</t>
  </si>
  <si>
    <t>ð</t>
  </si>
  <si>
    <t>Whiting</t>
  </si>
  <si>
    <t>Pelagic over 40m</t>
  </si>
  <si>
    <t>Brown Crab</t>
  </si>
  <si>
    <t>Sole</t>
  </si>
  <si>
    <t>Scallops</t>
  </si>
  <si>
    <t>Bass</t>
  </si>
  <si>
    <t>2022 data only</t>
  </si>
  <si>
    <t>Landing per kW day at sea
2013-2022
(% change)</t>
  </si>
  <si>
    <t>Cuttlefish</t>
  </si>
  <si>
    <t>Squid</t>
  </si>
  <si>
    <t>Razor Clam</t>
  </si>
  <si>
    <t>Version: August 2023</t>
  </si>
  <si>
    <t>Adjusted values (£)</t>
  </si>
  <si>
    <t>Back to home page</t>
  </si>
  <si>
    <t>Variable</t>
  </si>
  <si>
    <t>Trend
2012-2022</t>
  </si>
  <si>
    <t>Segment totals</t>
  </si>
  <si>
    <t>Active vessels (#)</t>
  </si>
  <si>
    <t>Power (kW)</t>
  </si>
  <si>
    <t>Registered Tonnage (GT)</t>
  </si>
  <si>
    <t>VCU (unit)</t>
  </si>
  <si>
    <t>Landings (tonnes)</t>
  </si>
  <si>
    <t>Fishing Income (£ million)</t>
  </si>
  <si>
    <t>Days at Sea (days)</t>
  </si>
  <si>
    <t>Fuel Consumption (thousand litres)</t>
  </si>
  <si>
    <t>FTEs (#)</t>
  </si>
  <si>
    <t>Vessel characteristics
(Average per vessel)</t>
  </si>
  <si>
    <t>Length (m)</t>
  </si>
  <si>
    <t>Fishing Income (£'000)</t>
  </si>
  <si>
    <t>Vessel Age (year)</t>
  </si>
  <si>
    <t>Landings per day at sea (tonnes)</t>
  </si>
  <si>
    <t>Average price per tonne landed (£)</t>
  </si>
  <si>
    <t>Performance indicators</t>
  </si>
  <si>
    <t>Landings per kW day at sea (kg)</t>
  </si>
  <si>
    <t>Fishing income per kW day at sea (£)</t>
  </si>
  <si>
    <t>Fishing income per FTE (£'000)</t>
  </si>
  <si>
    <t>Operating profit per FTE (£'000)</t>
  </si>
  <si>
    <t>Income, costs and profit
(Average per vessel)</t>
  </si>
  <si>
    <t>Non Fishing Income (£'000)</t>
  </si>
  <si>
    <t>Total Income (£'000)</t>
  </si>
  <si>
    <t>Fuel (£'000)</t>
  </si>
  <si>
    <t>Crew share (£'000)</t>
  </si>
  <si>
    <t>Other Fishing Costs (£'000)</t>
  </si>
  <si>
    <t>Total Fishing Costs (£'000)</t>
  </si>
  <si>
    <t>Total Vessel Costs (£'000)</t>
  </si>
  <si>
    <t>Total Costs (£'000)</t>
  </si>
  <si>
    <t>Gross Value Added (£'000)</t>
  </si>
  <si>
    <t>Operating Profit (£'000)</t>
  </si>
  <si>
    <t>Depreciation (£'000)</t>
  </si>
  <si>
    <t>Interest (£'000)</t>
  </si>
  <si>
    <t>Other Finance Costs (£'000)</t>
  </si>
  <si>
    <t>Net Profit (£'000)</t>
  </si>
  <si>
    <t>Notes:</t>
  </si>
  <si>
    <t xml:space="preserve">Sample rate for vessel characteristics and fishing income is 100%, taken from official data. Sample rates for non-fishing income and costs vary due to availability of financial accounts. See sample rate tab for details. </t>
  </si>
  <si>
    <t>Performance indicators 2012-2021</t>
  </si>
  <si>
    <t>Indicator</t>
  </si>
  <si>
    <t>Landings</t>
  </si>
  <si>
    <t>Income</t>
  </si>
  <si>
    <t>Costs</t>
  </si>
  <si>
    <t>Profit</t>
  </si>
  <si>
    <t>(per kilowatt day at sea)</t>
  </si>
  <si>
    <t>Trend</t>
  </si>
  <si>
    <t>Graphical Interpretation</t>
  </si>
  <si>
    <t>Haddock - 56.6%</t>
  </si>
  <si>
    <t>Haddock - 43.0%</t>
  </si>
  <si>
    <t>Top 5 landed species by value 2013-2022</t>
  </si>
  <si>
    <t>Scallops - 10.5%</t>
  </si>
  <si>
    <t>Scallops - 14.6%</t>
  </si>
  <si>
    <t>Hake - 7.5%</t>
  </si>
  <si>
    <t>Hake - 13.4%</t>
  </si>
  <si>
    <t>Herring - 7.2%</t>
  </si>
  <si>
    <t>Cod - 11.2%</t>
  </si>
  <si>
    <t>Nephrops - 7.0%</t>
  </si>
  <si>
    <t>Nephrops - 10.4%</t>
  </si>
  <si>
    <t>Others - 11.2%</t>
  </si>
  <si>
    <t>Others - 7.4%</t>
  </si>
  <si>
    <t>Pollack</t>
  </si>
  <si>
    <t>Queen Scallops</t>
  </si>
  <si>
    <t>Thornback Ray</t>
  </si>
  <si>
    <t>Others</t>
  </si>
  <si>
    <t>adjusted to 2022 prices</t>
  </si>
  <si>
    <t>nominal values</t>
  </si>
  <si>
    <t>Nominal values (£)</t>
  </si>
  <si>
    <t>Most
profitable
quartile</t>
  </si>
  <si>
    <t>Middle
two quartiles</t>
  </si>
  <si>
    <t>Least
profitable
quartile</t>
  </si>
  <si>
    <t>Segment
average</t>
  </si>
  <si>
    <t>&lt;5</t>
  </si>
  <si>
    <t>Fuel efficiency</t>
  </si>
  <si>
    <t>Annual cost of fuel (£'000)</t>
  </si>
  <si>
    <t>Annual fuel use (litre)</t>
  </si>
  <si>
    <t>Fuel use per day (litre)</t>
  </si>
  <si>
    <t>Cost of fuel per day (£)</t>
  </si>
  <si>
    <t>Cost of fuel per tonne landed (£)</t>
  </si>
  <si>
    <t>Total income</t>
  </si>
  <si>
    <t>Earnings &amp; Costs</t>
  </si>
  <si>
    <t>Total income (£'000)</t>
  </si>
  <si>
    <t>Operating costs</t>
  </si>
  <si>
    <t>Operating costs (£'000)</t>
  </si>
  <si>
    <t>Operating profit</t>
  </si>
  <si>
    <t>Operating profit (£'000)</t>
  </si>
  <si>
    <t>Value in £'000</t>
  </si>
  <si>
    <t>Total income, operating costs and operating profit  in 2021</t>
  </si>
  <si>
    <t>Quartiles are based on operating profit margin.</t>
  </si>
  <si>
    <t>Middle 
two quartiles</t>
  </si>
  <si>
    <t>color</t>
  </si>
  <si>
    <t>Top 5 landed species by volume in 2021</t>
  </si>
  <si>
    <t>Top 5 landed species by value in 2021</t>
  </si>
  <si>
    <t>Herring</t>
  </si>
  <si>
    <t>Nephrops - 85.0%</t>
  </si>
  <si>
    <t>Nephrops - 92.3%</t>
  </si>
  <si>
    <t>Les. Spot. Dog - 8.1%</t>
  </si>
  <si>
    <t>Anglerfish - 2.6%</t>
  </si>
  <si>
    <t>Anglerfish - 2.3%</t>
  </si>
  <si>
    <t>Les. Spot. Dog - 1.0%</t>
  </si>
  <si>
    <t>Haddock - 1.5%</t>
  </si>
  <si>
    <t>Sole - 0.8%</t>
  </si>
  <si>
    <t>Thornback Ray - 1.1%</t>
  </si>
  <si>
    <t>Haddock - 0.8%</t>
  </si>
  <si>
    <t>Others - 2.1%</t>
  </si>
  <si>
    <t>Others - 2.6%</t>
  </si>
  <si>
    <t>Les. Spot. Dog</t>
  </si>
  <si>
    <t>Turbot</t>
  </si>
  <si>
    <t>Brill</t>
  </si>
  <si>
    <t>Nephrops - 81.3%</t>
  </si>
  <si>
    <t>Nephrops - 86.8%</t>
  </si>
  <si>
    <t>Les. Spot. Dog - 5.6%</t>
  </si>
  <si>
    <t>Scallops - 6.4%</t>
  </si>
  <si>
    <t>Scallops - 5.5%</t>
  </si>
  <si>
    <t>Anglerfish - 1.4%</t>
  </si>
  <si>
    <t>Anglerfish - 1.6%</t>
  </si>
  <si>
    <t>Les. Spot. Dog - 0.8%</t>
  </si>
  <si>
    <t>Haddock - 1.4%</t>
  </si>
  <si>
    <t>Others - 4.6%</t>
  </si>
  <si>
    <t>Others - 3.7%</t>
  </si>
  <si>
    <t>Mussels</t>
  </si>
  <si>
    <t>Whelks</t>
  </si>
  <si>
    <t>Anglerfish - 43.0%</t>
  </si>
  <si>
    <t>Anglerfish - 51.6%</t>
  </si>
  <si>
    <t>Megrim - 29.3%</t>
  </si>
  <si>
    <t>Megrim - 23.9%</t>
  </si>
  <si>
    <t>Witch - 4.0%</t>
  </si>
  <si>
    <t>Nephrops - 6.6%</t>
  </si>
  <si>
    <t>Hake - 4.0%</t>
  </si>
  <si>
    <t>Witch - 2.5%</t>
  </si>
  <si>
    <t>Haddock - 2.8%</t>
  </si>
  <si>
    <t>John Dory - 2.5%</t>
  </si>
  <si>
    <t>Others - 16.8%</t>
  </si>
  <si>
    <t>Others - 12.8%</t>
  </si>
  <si>
    <t>Megrim</t>
  </si>
  <si>
    <t>Witch</t>
  </si>
  <si>
    <t>John Dory</t>
  </si>
  <si>
    <t>Albacore</t>
  </si>
  <si>
    <t>Les. Spot. Dog - 12.6%</t>
  </si>
  <si>
    <t>Lemon Sole - 15.8%</t>
  </si>
  <si>
    <t>Cuttlefish - 11.3%</t>
  </si>
  <si>
    <t>Cuttlefish - 15.1%</t>
  </si>
  <si>
    <t>Lemon Sole - 11.1%</t>
  </si>
  <si>
    <t>Sole - 10.0%</t>
  </si>
  <si>
    <t>Blonde Ray - 10.9%</t>
  </si>
  <si>
    <t>Anglerfish - 8.9%</t>
  </si>
  <si>
    <t>Thornback Ray - 7.9%</t>
  </si>
  <si>
    <t>Blonde Ray - 7.0%</t>
  </si>
  <si>
    <t>Others - 46.2%</t>
  </si>
  <si>
    <t>Others - 43.2%</t>
  </si>
  <si>
    <t>Blonde Ray</t>
  </si>
  <si>
    <t>Smoothhound</t>
  </si>
  <si>
    <t>Anglerfish - 38.8%</t>
  </si>
  <si>
    <t>Anglerfish - 43.1%</t>
  </si>
  <si>
    <t>Pilchards - 27.3%</t>
  </si>
  <si>
    <t>Hake - 31.0%</t>
  </si>
  <si>
    <t>Hake - 18.1%</t>
  </si>
  <si>
    <t>Turbot - 6.5%</t>
  </si>
  <si>
    <t>Pollack - 4.3%</t>
  </si>
  <si>
    <t>Pollack - 5.7%</t>
  </si>
  <si>
    <t>Spurdog - 2.1%</t>
  </si>
  <si>
    <t>Pilchards - 3.7%</t>
  </si>
  <si>
    <t>Others - 9.5%</t>
  </si>
  <si>
    <t>Others - 10.1%</t>
  </si>
  <si>
    <t>Pilchards</t>
  </si>
  <si>
    <t>Spurdog</t>
  </si>
  <si>
    <t>Ling</t>
  </si>
  <si>
    <t>Sandy Ray</t>
  </si>
  <si>
    <t>Crawfish</t>
  </si>
  <si>
    <t>Hake - 42.5%</t>
  </si>
  <si>
    <t>Hake - 41.6%</t>
  </si>
  <si>
    <t>Ling - 35.3%</t>
  </si>
  <si>
    <t>Razor Clam - 31.1%</t>
  </si>
  <si>
    <t>Razor Clam - 8.9%</t>
  </si>
  <si>
    <t>Ling - 17.6%</t>
  </si>
  <si>
    <t>Blue Ling - 5.0%</t>
  </si>
  <si>
    <t>Scallops - 5.6%</t>
  </si>
  <si>
    <t>Scallops - 4.4%</t>
  </si>
  <si>
    <t>Blue Ling - 1.6%</t>
  </si>
  <si>
    <t>Others - 3.8%</t>
  </si>
  <si>
    <t>Others - 2.5%</t>
  </si>
  <si>
    <t>Blue Ling</t>
  </si>
  <si>
    <t>Blue Shark</t>
  </si>
  <si>
    <t>Swordfish</t>
  </si>
  <si>
    <t>Blue Mouth Redfish</t>
  </si>
  <si>
    <t>Nephrops - 27.7%</t>
  </si>
  <si>
    <t>Nephrops - 28.1%</t>
  </si>
  <si>
    <t>Scallops - 22.5%</t>
  </si>
  <si>
    <t>Scallops - 16.8%</t>
  </si>
  <si>
    <t>Thornback Ray - 10.1%</t>
  </si>
  <si>
    <t>Lobsters - 10.9%</t>
  </si>
  <si>
    <t>Brown Shrimps - 7.6%</t>
  </si>
  <si>
    <t>Brown Shrimps - 9.2%</t>
  </si>
  <si>
    <t>Whelks - 5.6%</t>
  </si>
  <si>
    <t>Sole - 7.9%</t>
  </si>
  <si>
    <t>Others - 26.5%</t>
  </si>
  <si>
    <t>Others - 27.1%</t>
  </si>
  <si>
    <t>Cockles</t>
  </si>
  <si>
    <t>Mackerel - 33.8%</t>
  </si>
  <si>
    <t>Lobsters - 34.1%</t>
  </si>
  <si>
    <t>Brown Crab - 8.2%</t>
  </si>
  <si>
    <t>Bass - 17.1%</t>
  </si>
  <si>
    <t>Lobsters - 7.8%</t>
  </si>
  <si>
    <t>Mackerel - 12.3%</t>
  </si>
  <si>
    <t>Velvet Crab - 7.3%</t>
  </si>
  <si>
    <t>Velvet Crab - 5.5%</t>
  </si>
  <si>
    <t>Bass - 6.5%</t>
  </si>
  <si>
    <t>Brown Crab - 5.4%</t>
  </si>
  <si>
    <t>Others - 36.4%</t>
  </si>
  <si>
    <t>Others - 25.5%</t>
  </si>
  <si>
    <t>Velvet Crab</t>
  </si>
  <si>
    <t>Plaice - 59.9%</t>
  </si>
  <si>
    <t>Plaice - 42.0%</t>
  </si>
  <si>
    <t>Sole - 13.8%</t>
  </si>
  <si>
    <t>Sole - 22.5%</t>
  </si>
  <si>
    <t>Turbot - 8.5%</t>
  </si>
  <si>
    <t>Turbot - 17.8%</t>
  </si>
  <si>
    <t>Dabs - 3.8%</t>
  </si>
  <si>
    <t>Brown Crab - 4.6%</t>
  </si>
  <si>
    <t>Thornback Ray - 3.1%</t>
  </si>
  <si>
    <t>Brill - 3.4%</t>
  </si>
  <si>
    <t>Others - 10.9%</t>
  </si>
  <si>
    <t>Others - 9.7%</t>
  </si>
  <si>
    <t>Dabs</t>
  </si>
  <si>
    <t>Brown Shrimps - 94.7%</t>
  </si>
  <si>
    <t>Brown Shrimps - 96.4%</t>
  </si>
  <si>
    <t>Scallops - 5.1%</t>
  </si>
  <si>
    <t>Scallops - 3.3%</t>
  </si>
  <si>
    <t>Sole - 0.1%</t>
  </si>
  <si>
    <t>Dogfish - 0.0%</t>
  </si>
  <si>
    <t>Thornback Ray - 0.0%</t>
  </si>
  <si>
    <t>Blonde Ray - 0.0%</t>
  </si>
  <si>
    <t>Others - 0.0%</t>
  </si>
  <si>
    <t>Pink Shrimps</t>
  </si>
  <si>
    <t>Dogfish</t>
  </si>
  <si>
    <t>Nephrops - 54.1%</t>
  </si>
  <si>
    <t>Nephrops - 65.5%</t>
  </si>
  <si>
    <t>Anglerfish - 13.6%</t>
  </si>
  <si>
    <t>Anglerfish - 15.6%</t>
  </si>
  <si>
    <t>Whiting - 9.2%</t>
  </si>
  <si>
    <t>Whiting - 4.1%</t>
  </si>
  <si>
    <t>Haddock - 9.1%</t>
  </si>
  <si>
    <t>Haddock - 3.4%</t>
  </si>
  <si>
    <t>Witch - 2.4%</t>
  </si>
  <si>
    <t>Cod - 2.2%</t>
  </si>
  <si>
    <t>Others - 11.6%</t>
  </si>
  <si>
    <t>Others - 9.3%</t>
  </si>
  <si>
    <t>Halibut</t>
  </si>
  <si>
    <t>Saithe</t>
  </si>
  <si>
    <t>Nephrops - 84.6%</t>
  </si>
  <si>
    <t>Nephrops - 85.8%</t>
  </si>
  <si>
    <t>Anglerfish - 3.4%</t>
  </si>
  <si>
    <t>Anglerfish - 3.6%</t>
  </si>
  <si>
    <t>Haddock - 3.0%</t>
  </si>
  <si>
    <t>Cod - 1.3%</t>
  </si>
  <si>
    <t>Whiting - 2.6%</t>
  </si>
  <si>
    <t>Haddock - 1.1%</t>
  </si>
  <si>
    <t>Cod - 1.1%</t>
  </si>
  <si>
    <t>Whiting - 1.1%</t>
  </si>
  <si>
    <t>Others - 5.3%</t>
  </si>
  <si>
    <t>Others - 7.1%</t>
  </si>
  <si>
    <t>Sprats</t>
  </si>
  <si>
    <t>Common Prawns</t>
  </si>
  <si>
    <t>Haddock - 26.2%</t>
  </si>
  <si>
    <t>Haddock - 23.1%</t>
  </si>
  <si>
    <t>Anglerfish - 14.4%</t>
  </si>
  <si>
    <t>Anglerfish - 22.9%</t>
  </si>
  <si>
    <t>Saithe - 14.2%</t>
  </si>
  <si>
    <t>Cod - 12.3%</t>
  </si>
  <si>
    <t>Ling - 8.2%</t>
  </si>
  <si>
    <t>Saithe - 6.9%</t>
  </si>
  <si>
    <t>Whiting - 6.6%</t>
  </si>
  <si>
    <t>Ling - 5.5%</t>
  </si>
  <si>
    <t>Others - 30.4%</t>
  </si>
  <si>
    <t>Others - 29.3%</t>
  </si>
  <si>
    <t>Haddock - 39.8%</t>
  </si>
  <si>
    <t>Haddock - 29.4%</t>
  </si>
  <si>
    <t>Whiting - 20.0%</t>
  </si>
  <si>
    <t>Cod - 25.9%</t>
  </si>
  <si>
    <t>Saithe - 15.8%</t>
  </si>
  <si>
    <t>Whiting - 17.4%</t>
  </si>
  <si>
    <t>Cod - 12.5%</t>
  </si>
  <si>
    <t>Saithe - 10.0%</t>
  </si>
  <si>
    <t>Hake - 5.1%</t>
  </si>
  <si>
    <t>Hake - 8.4%</t>
  </si>
  <si>
    <t>Others - 6.8%</t>
  </si>
  <si>
    <t>Others - 8.9%</t>
  </si>
  <si>
    <t>Whiting - 23.1%</t>
  </si>
  <si>
    <t>Whiting - 20.6%</t>
  </si>
  <si>
    <t>Haddock - 20.0%</t>
  </si>
  <si>
    <t>Haddock - 17.4%</t>
  </si>
  <si>
    <t>Plaice - 14.2%</t>
  </si>
  <si>
    <t>Cod - 14.8%</t>
  </si>
  <si>
    <t>Cod - 6.7%</t>
  </si>
  <si>
    <t>Plaice - 8.8%</t>
  </si>
  <si>
    <t>Hake - 6.9%</t>
  </si>
  <si>
    <t>Others - 30.5%</t>
  </si>
  <si>
    <t>Others - 31.5%</t>
  </si>
  <si>
    <t>Tub Gurnard</t>
  </si>
  <si>
    <t>Anglerfish - 24.8%</t>
  </si>
  <si>
    <t>Anglerfish - 31.4%</t>
  </si>
  <si>
    <t>Haddock - 12.4%</t>
  </si>
  <si>
    <t>Megrim - 14.6%</t>
  </si>
  <si>
    <t>Whiting - 11.1%</t>
  </si>
  <si>
    <t>Cod - 13.2%</t>
  </si>
  <si>
    <t>Megrim - 10.3%</t>
  </si>
  <si>
    <t>Nephrops - 12.1%</t>
  </si>
  <si>
    <t>Nephrops - 9.8%</t>
  </si>
  <si>
    <t>Haddock - 7.6%</t>
  </si>
  <si>
    <t>Others - 31.7%</t>
  </si>
  <si>
    <t>Others - 21.2%</t>
  </si>
  <si>
    <t>Anglerfish - 25.7%</t>
  </si>
  <si>
    <t>Anglerfish - 30.5%</t>
  </si>
  <si>
    <t>Haddock - 12.2%</t>
  </si>
  <si>
    <t>Cod - 14.4%</t>
  </si>
  <si>
    <t>Cod - 10.0%</t>
  </si>
  <si>
    <t>Squid - 12.3%</t>
  </si>
  <si>
    <t>Whiting - 6.9%</t>
  </si>
  <si>
    <t>Haddock - 7.1%</t>
  </si>
  <si>
    <t>Squid - 6.8%</t>
  </si>
  <si>
    <t>Nephrops - 6.8%</t>
  </si>
  <si>
    <t>Others - 38.4%</t>
  </si>
  <si>
    <t>Others - 29.0%</t>
  </si>
  <si>
    <t>Brown Crab - 39.1%</t>
  </si>
  <si>
    <t>Brown Crab - 32.3%</t>
  </si>
  <si>
    <t>Whelks - 38.0%</t>
  </si>
  <si>
    <t>Lobsters - 29.3%</t>
  </si>
  <si>
    <t>Lobsters - 6.3%</t>
  </si>
  <si>
    <t>Nephrops - 19.0%</t>
  </si>
  <si>
    <t>Nephrops - 6.3%</t>
  </si>
  <si>
    <t>Whelks - 12.5%</t>
  </si>
  <si>
    <t>Pilchards - 3.9%</t>
  </si>
  <si>
    <t>Velvet Crab - 2.7%</t>
  </si>
  <si>
    <t>Others - 6.4%</t>
  </si>
  <si>
    <t>Others - 4.2%</t>
  </si>
  <si>
    <t>Brown Crab - 66.2%</t>
  </si>
  <si>
    <t>Brown Crab - 65.5%</t>
  </si>
  <si>
    <t>Whelks - 30.0%</t>
  </si>
  <si>
    <t>Lobsters - 18.3%</t>
  </si>
  <si>
    <t>Lobsters - 2.7%</t>
  </si>
  <si>
    <t>Whelks - 14.2%</t>
  </si>
  <si>
    <t>Nephrops - 0.6%</t>
  </si>
  <si>
    <t>Nephrops - 1.6%</t>
  </si>
  <si>
    <t>Scallops - 0.2%</t>
  </si>
  <si>
    <t>Others - 0.3%</t>
  </si>
  <si>
    <t>Others - 0.2%</t>
  </si>
  <si>
    <t>Spider Crabs</t>
  </si>
  <si>
    <t>Cuttlefish - 18.6%</t>
  </si>
  <si>
    <t>Sole - 35.0%</t>
  </si>
  <si>
    <t>Anglerfish - 17.7%</t>
  </si>
  <si>
    <t>Anglerfish - 14.7%</t>
  </si>
  <si>
    <t>Sole - 11.5%</t>
  </si>
  <si>
    <t>Cuttlefish - 13.9%</t>
  </si>
  <si>
    <t>Plaice - 7.7%</t>
  </si>
  <si>
    <t>Turbot - 6.7%</t>
  </si>
  <si>
    <t>Gurnard - 6.8%</t>
  </si>
  <si>
    <t>Plaice - 5.1%</t>
  </si>
  <si>
    <t>Others - 37.7%</t>
  </si>
  <si>
    <t>Others - 24.6%</t>
  </si>
  <si>
    <t>Gurnard</t>
  </si>
  <si>
    <t>Anglerfish - 18.0%</t>
  </si>
  <si>
    <t>Sole - 37.4%</t>
  </si>
  <si>
    <t>Cuttlefish - 14.8%</t>
  </si>
  <si>
    <t>Anglerfish - 15.0%</t>
  </si>
  <si>
    <t>Sole - 13.0%</t>
  </si>
  <si>
    <t>Plaice - 10.6%</t>
  </si>
  <si>
    <t>Plaice - 6.7%</t>
  </si>
  <si>
    <t>Scallops - 9.1%</t>
  </si>
  <si>
    <t>Turbot - 5.2%</t>
  </si>
  <si>
    <t>Others - 34.5%</t>
  </si>
  <si>
    <t>Others - 24.4%</t>
  </si>
  <si>
    <t>Scallops - 87.7%</t>
  </si>
  <si>
    <t>Scallops - 91.5%</t>
  </si>
  <si>
    <t>Queen Scallops - 10.0%</t>
  </si>
  <si>
    <t>Queen Scallops - 3.9%</t>
  </si>
  <si>
    <t>Anglerfish - 0.5%</t>
  </si>
  <si>
    <t>Sole - 0.9%</t>
  </si>
  <si>
    <t>Cuttlefish - 0.4%</t>
  </si>
  <si>
    <t>Anglerfish - 0.8%</t>
  </si>
  <si>
    <t>Nephrops - 0.2%</t>
  </si>
  <si>
    <t>Turbot - 0.8%</t>
  </si>
  <si>
    <t>Others - 1.1%</t>
  </si>
  <si>
    <t>Scallops - 46.4%</t>
  </si>
  <si>
    <t>Scallops - 51.1%</t>
  </si>
  <si>
    <t>Cockles - 40.6%</t>
  </si>
  <si>
    <t>Cockles - 31.5%</t>
  </si>
  <si>
    <t>Queen Scallops - 3.5%</t>
  </si>
  <si>
    <t>Manilla Clam - 3.1%</t>
  </si>
  <si>
    <t>Mussels - 2.2%</t>
  </si>
  <si>
    <t>Razor Clam - 3.1%</t>
  </si>
  <si>
    <t>Manilla Clam - 1.5%</t>
  </si>
  <si>
    <t>Sole - 2.6%</t>
  </si>
  <si>
    <t>Others - 5.9%</t>
  </si>
  <si>
    <t>Others - 8.5%</t>
  </si>
  <si>
    <t>Manilla Clam</t>
  </si>
  <si>
    <t>Nephrops - 40.6%</t>
  </si>
  <si>
    <t>Nephrops - 40.8%</t>
  </si>
  <si>
    <t>Scallops - 12.6%</t>
  </si>
  <si>
    <t>Sole - 17.5%</t>
  </si>
  <si>
    <t>Plaice - 4.5%</t>
  </si>
  <si>
    <t>Scallops - 5.3%</t>
  </si>
  <si>
    <t>Sole - 4.1%</t>
  </si>
  <si>
    <t>Squid - 4.2%</t>
  </si>
  <si>
    <t>Sprats - 4.0%</t>
  </si>
  <si>
    <t>Plaice - 3.9%</t>
  </si>
  <si>
    <t>Others - 34.1%</t>
  </si>
  <si>
    <t>Others - 28.3%</t>
  </si>
  <si>
    <t>Pollack - 11.3%</t>
  </si>
  <si>
    <t>Sole - 27.0%</t>
  </si>
  <si>
    <t>Whelks - 9.7%</t>
  </si>
  <si>
    <t>Bass - 14.6%</t>
  </si>
  <si>
    <t>Pollack - 8.9%</t>
  </si>
  <si>
    <t>Pilchards - 7.9%</t>
  </si>
  <si>
    <t>Turbot - 5.9%</t>
  </si>
  <si>
    <t>Cockles - 6.4%</t>
  </si>
  <si>
    <t>Anglerfish - 4.7%</t>
  </si>
  <si>
    <t>Others - 56.8%</t>
  </si>
  <si>
    <t>Others - 38.9%</t>
  </si>
  <si>
    <t>Whelks - 41.1%</t>
  </si>
  <si>
    <t>Lobsters - 37.9%</t>
  </si>
  <si>
    <t>Brown Crab - 30.3%</t>
  </si>
  <si>
    <t>Brown Crab - 19.2%</t>
  </si>
  <si>
    <t>Lobsters - 8.9%</t>
  </si>
  <si>
    <t>Whelks - 12.4%</t>
  </si>
  <si>
    <t>Velvet Crab - 7.2%</t>
  </si>
  <si>
    <t>Nephrops - 11.1%</t>
  </si>
  <si>
    <t>Nephrops - 3.9%</t>
  </si>
  <si>
    <t>Others - 8.6%</t>
  </si>
  <si>
    <t>Others - 12.5%</t>
  </si>
  <si>
    <t>Mackerel - 40.8%</t>
  </si>
  <si>
    <t>Bass - 31.8%</t>
  </si>
  <si>
    <t>Razor Clam - 15.8%</t>
  </si>
  <si>
    <t>Razor Clam - 31.2%</t>
  </si>
  <si>
    <t>Scallops - 14.4%</t>
  </si>
  <si>
    <t>Mackerel - 14.4%</t>
  </si>
  <si>
    <t>Bass - 12.1%</t>
  </si>
  <si>
    <t>Scallops - 9.7%</t>
  </si>
  <si>
    <t>Cod - 5.4%</t>
  </si>
  <si>
    <t>Pollack - 4.4%</t>
  </si>
  <si>
    <t>Others - 11.5%</t>
  </si>
  <si>
    <t>Nephrops - 90.9%</t>
  </si>
  <si>
    <t>Nephrops - 95.3%</t>
  </si>
  <si>
    <t>Sprats - 4.6%</t>
  </si>
  <si>
    <t>Anglerfish - 1.3%</t>
  </si>
  <si>
    <t>Squid - 1.2%</t>
  </si>
  <si>
    <t>Haddock - 1.0%</t>
  </si>
  <si>
    <t>Sprats - 0.7%</t>
  </si>
  <si>
    <t>Squid - 0.8%</t>
  </si>
  <si>
    <t>Haddock - 0.5%</t>
  </si>
  <si>
    <t>Others - 1.4%</t>
  </si>
  <si>
    <t>Others - 0.9%</t>
  </si>
  <si>
    <t>Nephrops - 96.0%</t>
  </si>
  <si>
    <t>Nephrops - 97.5%</t>
  </si>
  <si>
    <t>Queen Scallops - 2.2%</t>
  </si>
  <si>
    <t>Squid - 1.0%</t>
  </si>
  <si>
    <t>Squid - 0.5%</t>
  </si>
  <si>
    <t>Queen Scallops - 0.7%</t>
  </si>
  <si>
    <t>Brown Crab - 0.5%</t>
  </si>
  <si>
    <t>Brown Crab - 0.4%</t>
  </si>
  <si>
    <t>Haddock - 0.2%</t>
  </si>
  <si>
    <t>Haddock - 0.1%</t>
  </si>
  <si>
    <t>Others - 0.6%</t>
  </si>
  <si>
    <t>Others - 0.4%</t>
  </si>
  <si>
    <t>Sample Rates</t>
  </si>
  <si>
    <t>Sample rate for vessel characteristics and fishing income is 100%, taken from official data.
Sample rates on this page are for non-fishing income and costs, taken from financial accounts.</t>
  </si>
  <si>
    <t>Segment</t>
  </si>
  <si>
    <t>2022*</t>
  </si>
  <si>
    <t>* 2022: projection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</si>
</sst>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
  </numFmts>
  <fonts count="33">
    <font>
      <sz val="11"/>
      <color theme="1"/>
      <name val="Arial"/>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b/>
      <u/>
      <sz val="14"/>
      <color theme="1"/>
      <name val="Arial"/>
      <family val="2"/>
    </font>
    <font>
      <sz val="10"/>
      <color theme="1"/>
      <name val="Arial"/>
      <family val="2"/>
    </font>
    <font>
      <sz val="10"/>
      <color theme="1"/>
      <name val="Calibri"/>
      <family val="2"/>
      <scheme val="minor"/>
    </font>
    <font>
      <b/>
      <sz val="10"/>
      <color theme="1"/>
      <name val="Calibri"/>
      <family val="2"/>
      <scheme val="minor"/>
    </font>
    <font>
      <b/>
      <sz val="14"/>
      <color theme="1"/>
      <name val="Calibri"/>
      <family val="2"/>
      <scheme val="minor"/>
    </font>
    <font>
      <sz val="12"/>
      <color theme="1"/>
      <name val="Wingdings"/>
      <charset val="2"/>
    </font>
    <font>
      <u/>
      <sz val="11"/>
      <color theme="10"/>
      <name val="Arial"/>
      <family val="2"/>
    </font>
    <font>
      <u/>
      <sz val="10"/>
      <name val="Calibri"/>
      <family val="2"/>
    </font>
    <font>
      <u/>
      <sz val="10"/>
      <color indexed="63"/>
      <name val="Calibri"/>
      <family val="2"/>
    </font>
    <font>
      <sz val="10"/>
      <color theme="1"/>
      <name val="Calibri"/>
      <family val="2"/>
    </font>
    <font>
      <sz val="10"/>
      <name val="Calibri"/>
      <family val="2"/>
      <scheme val="minor"/>
    </font>
    <font>
      <sz val="9"/>
      <color theme="1"/>
      <name val="Calibri"/>
      <family val="2"/>
      <scheme val="minor"/>
    </font>
    <font>
      <b/>
      <sz val="9"/>
      <color theme="1"/>
      <name val="Calibri"/>
      <family val="2"/>
      <scheme val="minor"/>
    </font>
    <font>
      <b/>
      <sz val="10"/>
      <color theme="3"/>
      <name val="Calibri"/>
      <family val="2"/>
      <scheme val="minor"/>
    </font>
    <font>
      <b/>
      <u/>
      <sz val="12"/>
      <color theme="1"/>
      <name val="Calibri"/>
      <family val="2"/>
      <scheme val="minor"/>
    </font>
    <font>
      <b/>
      <sz val="11"/>
      <name val="Calibri"/>
      <family val="2"/>
      <scheme val="minor"/>
    </font>
    <font>
      <sz val="11"/>
      <name val="Calibri"/>
      <family val="2"/>
      <scheme val="minor"/>
    </font>
    <font>
      <b/>
      <u/>
      <sz val="12"/>
      <name val="Calibri"/>
      <family val="2"/>
      <scheme val="minor"/>
    </font>
    <font>
      <sz val="9"/>
      <name val="Calibri"/>
      <family val="2"/>
      <scheme val="minor"/>
    </font>
    <font>
      <sz val="8"/>
      <color theme="1"/>
      <name val="Calibri"/>
      <family val="2"/>
      <scheme val="minor"/>
    </font>
    <font>
      <u/>
      <sz val="11"/>
      <name val="Calibri"/>
      <family val="2"/>
    </font>
    <font>
      <i/>
      <sz val="10"/>
      <color theme="1"/>
      <name val="Calibri"/>
      <family val="2"/>
      <scheme val="minor"/>
    </font>
    <font>
      <sz val="10"/>
      <name val="Arial"/>
      <family val="2"/>
    </font>
    <font>
      <b/>
      <sz val="10"/>
      <name val="Calibri"/>
      <family val="2"/>
      <scheme val="minor"/>
    </font>
    <font>
      <b/>
      <u/>
      <sz val="11"/>
      <color theme="1"/>
      <name val="Calibri"/>
      <family val="2"/>
      <scheme val="minor"/>
    </font>
    <font>
      <u/>
      <sz val="11"/>
      <color theme="1"/>
      <name val="Calibri"/>
      <family val="2"/>
      <scheme val="minor"/>
    </font>
    <font>
      <sz val="11"/>
      <name val="Calibri"/>
      <family val="2"/>
    </font>
  </fonts>
  <fills count="11">
    <fill>
      <patternFill patternType="none"/>
    </fill>
    <fill>
      <patternFill patternType="gray125"/>
    </fill>
    <fill>
      <patternFill patternType="solid">
        <fgColor theme="0"/>
        <bgColor indexed="64"/>
      </patternFill>
    </fill>
    <fill>
      <patternFill patternType="solid">
        <fgColor rgb="FFF1A058"/>
        <bgColor indexed="64"/>
      </patternFill>
    </fill>
    <fill>
      <patternFill patternType="solid">
        <fgColor rgb="FF7599D0"/>
        <bgColor indexed="64"/>
      </patternFill>
    </fill>
    <fill>
      <patternFill patternType="solid">
        <fgColor rgb="FFD5DE71"/>
        <bgColor indexed="64"/>
      </patternFill>
    </fill>
    <fill>
      <patternFill patternType="solid">
        <fgColor rgb="FF7CB6C2"/>
        <bgColor indexed="64"/>
      </patternFill>
    </fill>
    <fill>
      <patternFill patternType="solid">
        <fgColor theme="7" tint="0.59999389629810485"/>
        <bgColor indexed="64"/>
      </patternFill>
    </fill>
    <fill>
      <patternFill patternType="solid">
        <fgColor rgb="FFF0886D"/>
        <bgColor indexed="64"/>
      </patternFill>
    </fill>
    <fill>
      <patternFill patternType="solid">
        <fgColor rgb="FFFFFFFF"/>
        <bgColor indexed="64"/>
      </patternFill>
    </fill>
    <fill>
      <patternFill patternType="solid">
        <fgColor rgb="FFFFC000"/>
        <bgColor indexed="64"/>
      </patternFill>
    </fill>
  </fills>
  <borders count="24">
    <border>
      <left/>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style="medium">
        <color auto="1"/>
      </top>
      <bottom style="medium">
        <color auto="1"/>
      </bottom>
      <diagonal/>
    </border>
    <border>
      <left/>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4">
    <xf numFmtId="0" fontId="0" fillId="0" borderId="0"/>
    <xf numFmtId="0" fontId="12" fillId="0" borderId="0" applyNumberFormat="0" applyFill="0" applyBorder="0" applyAlignment="0" applyProtection="0"/>
    <xf numFmtId="9" fontId="5" fillId="0" borderId="0" applyFont="0" applyFill="0" applyBorder="0" applyAlignment="0" applyProtection="0"/>
    <xf numFmtId="0" fontId="28" fillId="0" borderId="0"/>
  </cellStyleXfs>
  <cellXfs count="210">
    <xf numFmtId="0" fontId="0" fillId="0" borderId="0" xfId="0"/>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10" fillId="2" borderId="0" xfId="0" applyFont="1" applyFill="1" applyAlignment="1">
      <alignment horizontal="left" vertical="center"/>
    </xf>
    <xf numFmtId="0" fontId="9" fillId="2" borderId="0" xfId="0" applyFont="1" applyFill="1" applyAlignment="1">
      <alignment horizontal="center" vertical="center"/>
    </xf>
    <xf numFmtId="0" fontId="7" fillId="2" borderId="0" xfId="0" applyFont="1" applyFill="1" applyAlignment="1">
      <alignment horizontal="center"/>
    </xf>
    <xf numFmtId="0" fontId="9" fillId="2" borderId="0" xfId="0" applyFont="1" applyFill="1" applyAlignment="1">
      <alignment horizontal="left" vertical="top"/>
    </xf>
    <xf numFmtId="0" fontId="8" fillId="2" borderId="0" xfId="0" applyFont="1" applyFill="1" applyAlignment="1">
      <alignment horizontal="center" vertical="center" wrapText="1"/>
    </xf>
    <xf numFmtId="0" fontId="8" fillId="2" borderId="1" xfId="0" applyFont="1" applyFill="1" applyBorder="1" applyAlignment="1">
      <alignment horizontal="left" wrapText="1"/>
    </xf>
    <xf numFmtId="0" fontId="8" fillId="2" borderId="1" xfId="0" applyFont="1" applyFill="1" applyBorder="1" applyAlignment="1">
      <alignment horizontal="center" wrapText="1"/>
    </xf>
    <xf numFmtId="0" fontId="8" fillId="2" borderId="0" xfId="0" applyFont="1" applyFill="1" applyAlignment="1">
      <alignment horizontal="left"/>
    </xf>
    <xf numFmtId="0" fontId="8" fillId="2" borderId="0" xfId="0" applyFont="1" applyFill="1" applyAlignment="1">
      <alignment horizontal="center"/>
    </xf>
    <xf numFmtId="3" fontId="8" fillId="2" borderId="0" xfId="0" applyNumberFormat="1" applyFont="1" applyFill="1" applyAlignment="1">
      <alignment horizontal="center"/>
    </xf>
    <xf numFmtId="164" fontId="8" fillId="2" borderId="0" xfId="0" applyNumberFormat="1" applyFont="1" applyFill="1" applyAlignment="1">
      <alignment horizontal="center"/>
    </xf>
    <xf numFmtId="0" fontId="11" fillId="2" borderId="0" xfId="0" applyFont="1" applyFill="1" applyAlignment="1">
      <alignment horizontal="center"/>
    </xf>
    <xf numFmtId="9" fontId="8" fillId="2" borderId="0" xfId="0" applyNumberFormat="1" applyFont="1" applyFill="1" applyAlignment="1">
      <alignment horizontal="center"/>
    </xf>
    <xf numFmtId="0" fontId="7" fillId="2" borderId="0" xfId="0" applyFont="1" applyFill="1" applyAlignment="1">
      <alignment horizontal="left"/>
    </xf>
    <xf numFmtId="0" fontId="14" fillId="2" borderId="0" xfId="1" applyFont="1" applyFill="1" applyAlignment="1">
      <alignment horizontal="left"/>
    </xf>
    <xf numFmtId="0" fontId="10" fillId="2" borderId="0" xfId="0" applyFont="1" applyFill="1" applyAlignment="1">
      <alignment vertical="center"/>
    </xf>
    <xf numFmtId="0" fontId="1" fillId="2" borderId="0" xfId="0" applyFont="1" applyFill="1" applyAlignment="1">
      <alignment vertical="center"/>
    </xf>
    <xf numFmtId="0" fontId="1" fillId="2" borderId="5" xfId="0" applyFont="1" applyFill="1" applyBorder="1" applyAlignment="1">
      <alignment vertical="center" wrapText="1"/>
    </xf>
    <xf numFmtId="0" fontId="9" fillId="2" borderId="5" xfId="0" applyFont="1" applyFill="1" applyBorder="1" applyAlignment="1">
      <alignment vertical="center" wrapText="1"/>
    </xf>
    <xf numFmtId="0" fontId="15" fillId="2" borderId="5" xfId="0" applyFont="1" applyFill="1" applyBorder="1" applyAlignment="1">
      <alignment horizontal="center" vertical="center" wrapText="1"/>
    </xf>
    <xf numFmtId="0" fontId="8" fillId="2" borderId="5" xfId="0" applyFont="1" applyFill="1" applyBorder="1" applyAlignment="1">
      <alignment horizontal="right" vertical="center" wrapText="1"/>
    </xf>
    <xf numFmtId="0" fontId="1" fillId="2" borderId="0" xfId="0" applyFont="1" applyFill="1" applyAlignment="1">
      <alignment vertical="center" wrapText="1"/>
    </xf>
    <xf numFmtId="0" fontId="16" fillId="2" borderId="6" xfId="0" applyFont="1" applyFill="1" applyBorder="1" applyAlignment="1">
      <alignment horizontal="right" vertical="center"/>
    </xf>
    <xf numFmtId="3" fontId="8" fillId="2" borderId="6" xfId="0" applyNumberFormat="1" applyFont="1" applyFill="1" applyBorder="1" applyAlignment="1">
      <alignment vertical="center"/>
    </xf>
    <xf numFmtId="9" fontId="8" fillId="2" borderId="0" xfId="2" applyFont="1" applyFill="1" applyAlignment="1">
      <alignment horizontal="center" vertical="center"/>
    </xf>
    <xf numFmtId="0" fontId="16" fillId="2" borderId="0" xfId="0" applyFont="1" applyFill="1" applyAlignment="1">
      <alignment horizontal="right" vertical="center"/>
    </xf>
    <xf numFmtId="3" fontId="8" fillId="2" borderId="0" xfId="0" applyNumberFormat="1" applyFont="1" applyFill="1" applyAlignment="1">
      <alignment vertical="center"/>
    </xf>
    <xf numFmtId="164" fontId="1" fillId="2" borderId="0" xfId="0" applyNumberFormat="1" applyFont="1" applyFill="1" applyAlignment="1">
      <alignment vertical="center"/>
    </xf>
    <xf numFmtId="164" fontId="8" fillId="2" borderId="0" xfId="0" applyNumberFormat="1" applyFont="1" applyFill="1" applyAlignment="1">
      <alignment vertical="center"/>
    </xf>
    <xf numFmtId="9" fontId="8" fillId="2" borderId="7" xfId="2" applyFont="1" applyFill="1" applyBorder="1" applyAlignment="1">
      <alignment horizontal="center" vertical="center"/>
    </xf>
    <xf numFmtId="0" fontId="8" fillId="2" borderId="8" xfId="0" applyFont="1" applyFill="1" applyBorder="1" applyAlignment="1">
      <alignment horizontal="right" vertical="center"/>
    </xf>
    <xf numFmtId="164" fontId="8" fillId="2" borderId="8" xfId="0" applyNumberFormat="1" applyFont="1" applyFill="1" applyBorder="1" applyAlignment="1">
      <alignment vertical="center"/>
    </xf>
    <xf numFmtId="0" fontId="8" fillId="2" borderId="0" xfId="0" applyFont="1" applyFill="1" applyAlignment="1">
      <alignment horizontal="right" vertical="center"/>
    </xf>
    <xf numFmtId="4" fontId="8" fillId="2" borderId="0" xfId="0" applyNumberFormat="1" applyFont="1" applyFill="1" applyAlignment="1">
      <alignment vertical="center"/>
    </xf>
    <xf numFmtId="0" fontId="8" fillId="2" borderId="7" xfId="0" applyFont="1" applyFill="1" applyBorder="1" applyAlignment="1">
      <alignment horizontal="right" vertical="center"/>
    </xf>
    <xf numFmtId="3" fontId="8" fillId="2" borderId="7" xfId="0" applyNumberFormat="1" applyFont="1" applyFill="1" applyBorder="1" applyAlignment="1">
      <alignment vertical="center"/>
    </xf>
    <xf numFmtId="4" fontId="8" fillId="2" borderId="8" xfId="0" applyNumberFormat="1" applyFont="1" applyFill="1" applyBorder="1" applyAlignment="1">
      <alignment vertical="center"/>
    </xf>
    <xf numFmtId="0" fontId="17" fillId="2" borderId="0" xfId="0" applyFont="1" applyFill="1" applyAlignment="1">
      <alignment vertical="center"/>
    </xf>
    <xf numFmtId="0" fontId="4" fillId="2" borderId="0" xfId="0" applyFont="1" applyFill="1" applyAlignment="1">
      <alignment vertical="center"/>
    </xf>
    <xf numFmtId="0" fontId="4" fillId="2" borderId="0" xfId="2"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horizontal="right" vertical="center"/>
    </xf>
    <xf numFmtId="0" fontId="22" fillId="2" borderId="0" xfId="0" applyFont="1" applyFill="1" applyAlignment="1">
      <alignment vertical="center"/>
    </xf>
    <xf numFmtId="9" fontId="4" fillId="2" borderId="0" xfId="2" applyFont="1" applyFill="1" applyAlignment="1">
      <alignment vertical="center"/>
    </xf>
    <xf numFmtId="0" fontId="2" fillId="2" borderId="0" xfId="0" applyFont="1" applyFill="1" applyAlignment="1">
      <alignment vertical="center"/>
    </xf>
    <xf numFmtId="0" fontId="15" fillId="2" borderId="5" xfId="0" applyFont="1" applyFill="1" applyBorder="1" applyAlignment="1">
      <alignment horizontal="right" vertical="center" wrapText="1"/>
    </xf>
    <xf numFmtId="0" fontId="8" fillId="7" borderId="5" xfId="0" applyFont="1" applyFill="1" applyBorder="1" applyAlignment="1">
      <alignment horizontal="right" vertical="center" wrapText="1"/>
    </xf>
    <xf numFmtId="0" fontId="8" fillId="2" borderId="0" xfId="0" applyFont="1" applyFill="1" applyAlignment="1">
      <alignment vertical="center"/>
    </xf>
    <xf numFmtId="0" fontId="8" fillId="7" borderId="0" xfId="0" applyFont="1" applyFill="1" applyAlignment="1">
      <alignment vertical="center"/>
    </xf>
    <xf numFmtId="167" fontId="8" fillId="2" borderId="8" xfId="0" applyNumberFormat="1" applyFont="1" applyFill="1" applyBorder="1" applyAlignment="1">
      <alignment vertical="center"/>
    </xf>
    <xf numFmtId="167" fontId="8" fillId="7" borderId="8" xfId="0" applyNumberFormat="1" applyFont="1" applyFill="1" applyBorder="1" applyAlignment="1">
      <alignment vertical="center"/>
    </xf>
    <xf numFmtId="1" fontId="8" fillId="2" borderId="0" xfId="0" applyNumberFormat="1" applyFont="1" applyFill="1" applyAlignment="1">
      <alignment vertical="center"/>
    </xf>
    <xf numFmtId="1" fontId="8" fillId="7" borderId="0" xfId="0" applyNumberFormat="1" applyFont="1" applyFill="1" applyAlignment="1">
      <alignment vertical="center"/>
    </xf>
    <xf numFmtId="164" fontId="8" fillId="7" borderId="0" xfId="0" applyNumberFormat="1" applyFont="1" applyFill="1" applyAlignment="1">
      <alignment vertical="center"/>
    </xf>
    <xf numFmtId="2" fontId="8" fillId="2" borderId="0" xfId="0" applyNumberFormat="1" applyFont="1" applyFill="1" applyAlignment="1">
      <alignment vertical="center"/>
    </xf>
    <xf numFmtId="2" fontId="8" fillId="7" borderId="0" xfId="0" applyNumberFormat="1" applyFont="1" applyFill="1" applyAlignment="1">
      <alignment vertical="center"/>
    </xf>
    <xf numFmtId="3" fontId="8" fillId="7" borderId="7" xfId="0" applyNumberFormat="1" applyFont="1" applyFill="1" applyBorder="1" applyAlignment="1">
      <alignment vertical="center"/>
    </xf>
    <xf numFmtId="2" fontId="8" fillId="2" borderId="8" xfId="0" applyNumberFormat="1" applyFont="1" applyFill="1" applyBorder="1" applyAlignment="1">
      <alignment vertical="center"/>
    </xf>
    <xf numFmtId="2" fontId="8" fillId="7" borderId="8" xfId="0" applyNumberFormat="1" applyFont="1" applyFill="1" applyBorder="1" applyAlignment="1">
      <alignment vertical="center"/>
    </xf>
    <xf numFmtId="2" fontId="8" fillId="2" borderId="7" xfId="0" applyNumberFormat="1" applyFont="1" applyFill="1" applyBorder="1" applyAlignment="1">
      <alignment vertical="center"/>
    </xf>
    <xf numFmtId="2" fontId="8" fillId="7" borderId="7" xfId="0" applyNumberFormat="1" applyFont="1" applyFill="1" applyBorder="1" applyAlignment="1">
      <alignment vertical="center"/>
    </xf>
    <xf numFmtId="167" fontId="8" fillId="2" borderId="0" xfId="0" applyNumberFormat="1" applyFont="1" applyFill="1" applyAlignment="1">
      <alignment vertical="center"/>
    </xf>
    <xf numFmtId="167" fontId="8" fillId="7" borderId="0" xfId="0" applyNumberFormat="1" applyFont="1" applyFill="1" applyAlignment="1">
      <alignment vertical="center"/>
    </xf>
    <xf numFmtId="3" fontId="8" fillId="7" borderId="0" xfId="0" applyNumberFormat="1" applyFont="1" applyFill="1" applyAlignment="1">
      <alignment vertical="center"/>
    </xf>
    <xf numFmtId="0" fontId="25" fillId="2" borderId="0" xfId="0" applyFont="1" applyFill="1" applyAlignment="1">
      <alignment vertical="center"/>
    </xf>
    <xf numFmtId="3" fontId="25" fillId="2" borderId="0" xfId="0" applyNumberFormat="1" applyFont="1" applyFill="1" applyAlignment="1">
      <alignment vertical="center"/>
    </xf>
    <xf numFmtId="3" fontId="8" fillId="2" borderId="8" xfId="0" applyNumberFormat="1" applyFont="1" applyFill="1" applyBorder="1" applyAlignment="1">
      <alignment vertical="center"/>
    </xf>
    <xf numFmtId="3" fontId="8" fillId="7" borderId="8" xfId="0" applyNumberFormat="1" applyFont="1" applyFill="1" applyBorder="1" applyAlignment="1">
      <alignment vertical="center"/>
    </xf>
    <xf numFmtId="9" fontId="25" fillId="2" borderId="0" xfId="2" applyFont="1" applyFill="1" applyAlignment="1">
      <alignment vertical="center"/>
    </xf>
    <xf numFmtId="9" fontId="4" fillId="2" borderId="0" xfId="2" applyFont="1" applyFill="1" applyAlignment="1">
      <alignment vertical="center" wrapText="1"/>
    </xf>
    <xf numFmtId="0" fontId="4" fillId="2" borderId="0" xfId="2" applyNumberFormat="1" applyFont="1" applyFill="1" applyAlignment="1">
      <alignment vertical="center" wrapText="1"/>
    </xf>
    <xf numFmtId="0" fontId="10" fillId="9" borderId="0" xfId="0" applyFont="1" applyFill="1" applyAlignment="1">
      <alignment vertical="center"/>
    </xf>
    <xf numFmtId="0" fontId="3" fillId="9" borderId="0" xfId="0" applyFont="1" applyFill="1" applyAlignment="1">
      <alignment vertical="center"/>
    </xf>
    <xf numFmtId="0" fontId="1" fillId="9" borderId="0" xfId="0" applyFont="1" applyFill="1" applyAlignment="1">
      <alignment vertical="center"/>
    </xf>
    <xf numFmtId="0" fontId="1" fillId="9" borderId="1" xfId="0" applyFont="1" applyFill="1" applyBorder="1" applyAlignment="1">
      <alignment vertical="center"/>
    </xf>
    <xf numFmtId="0" fontId="1" fillId="9" borderId="2" xfId="0" applyFont="1" applyFill="1" applyBorder="1" applyAlignment="1">
      <alignment horizontal="right" vertical="center"/>
    </xf>
    <xf numFmtId="0" fontId="8" fillId="10" borderId="3" xfId="0" applyFont="1" applyFill="1" applyBorder="1" applyAlignment="1">
      <alignment horizontal="center" vertical="center" wrapText="1"/>
    </xf>
    <xf numFmtId="0" fontId="8" fillId="9" borderId="8" xfId="0" applyFont="1" applyFill="1" applyBorder="1" applyAlignment="1">
      <alignment horizontal="right" vertical="center"/>
    </xf>
    <xf numFmtId="164" fontId="8" fillId="9" borderId="8" xfId="0" applyNumberFormat="1" applyFont="1" applyFill="1" applyBorder="1" applyAlignment="1">
      <alignment vertical="center"/>
    </xf>
    <xf numFmtId="9" fontId="8" fillId="9" borderId="0" xfId="2" applyFont="1" applyFill="1" applyAlignment="1">
      <alignment horizontal="center" vertical="center"/>
    </xf>
    <xf numFmtId="0" fontId="8" fillId="9" borderId="0" xfId="0" applyFont="1" applyFill="1" applyAlignment="1">
      <alignment horizontal="right" vertical="center"/>
    </xf>
    <xf numFmtId="164" fontId="8" fillId="9" borderId="0" xfId="0" applyNumberFormat="1" applyFont="1" applyFill="1" applyAlignment="1">
      <alignment vertical="center"/>
    </xf>
    <xf numFmtId="0" fontId="9" fillId="9" borderId="0" xfId="0" applyFont="1" applyFill="1" applyAlignment="1">
      <alignment horizontal="right" vertical="center"/>
    </xf>
    <xf numFmtId="164" fontId="9" fillId="9" borderId="0" xfId="0" applyNumberFormat="1" applyFont="1" applyFill="1" applyAlignment="1">
      <alignment vertical="center"/>
    </xf>
    <xf numFmtId="0" fontId="9" fillId="9" borderId="1" xfId="0" applyFont="1" applyFill="1" applyBorder="1" applyAlignment="1">
      <alignment horizontal="right" vertical="center"/>
    </xf>
    <xf numFmtId="164" fontId="9" fillId="9" borderId="1" xfId="0" applyNumberFormat="1" applyFont="1" applyFill="1" applyBorder="1" applyAlignment="1">
      <alignment vertical="center"/>
    </xf>
    <xf numFmtId="9" fontId="8" fillId="9" borderId="1" xfId="2" applyFont="1" applyFill="1" applyBorder="1" applyAlignment="1">
      <alignment horizontal="center" vertical="center"/>
    </xf>
    <xf numFmtId="0" fontId="17" fillId="9" borderId="0" xfId="0" applyFont="1" applyFill="1" applyAlignment="1">
      <alignment vertical="center"/>
    </xf>
    <xf numFmtId="0" fontId="18" fillId="9" borderId="0" xfId="0" applyFont="1" applyFill="1" applyAlignment="1">
      <alignment horizontal="right" vertical="center"/>
    </xf>
    <xf numFmtId="164" fontId="19" fillId="9" borderId="0" xfId="0" applyNumberFormat="1" applyFont="1" applyFill="1" applyAlignment="1">
      <alignment vertical="center"/>
    </xf>
    <xf numFmtId="164" fontId="8" fillId="9" borderId="0" xfId="0" applyNumberFormat="1" applyFont="1" applyFill="1" applyAlignment="1">
      <alignment horizontal="center" vertical="center"/>
    </xf>
    <xf numFmtId="9" fontId="9" fillId="9" borderId="0" xfId="2" applyFont="1" applyFill="1" applyAlignment="1">
      <alignment horizontal="center" vertical="center"/>
    </xf>
    <xf numFmtId="164" fontId="19" fillId="9" borderId="9" xfId="0" applyNumberFormat="1" applyFont="1" applyFill="1" applyBorder="1" applyAlignment="1">
      <alignment vertical="center"/>
    </xf>
    <xf numFmtId="164" fontId="8" fillId="9" borderId="9" xfId="0" applyNumberFormat="1" applyFont="1" applyFill="1" applyBorder="1" applyAlignment="1">
      <alignment horizontal="center" vertical="center"/>
    </xf>
    <xf numFmtId="164" fontId="11" fillId="9" borderId="9" xfId="0" applyNumberFormat="1" applyFont="1" applyFill="1" applyBorder="1" applyAlignment="1">
      <alignment horizontal="center" vertical="center"/>
    </xf>
    <xf numFmtId="0" fontId="20" fillId="9" borderId="0" xfId="0" applyFont="1" applyFill="1"/>
    <xf numFmtId="0" fontId="4" fillId="9" borderId="0" xfId="0" applyFont="1" applyFill="1" applyAlignment="1">
      <alignment vertical="center"/>
    </xf>
    <xf numFmtId="165" fontId="4" fillId="9" borderId="0" xfId="2" applyNumberFormat="1" applyFont="1" applyFill="1" applyAlignment="1">
      <alignment vertical="center"/>
    </xf>
    <xf numFmtId="0" fontId="4" fillId="9" borderId="0" xfId="2" applyNumberFormat="1" applyFont="1" applyFill="1" applyAlignment="1">
      <alignment vertical="center"/>
    </xf>
    <xf numFmtId="0" fontId="21" fillId="9" borderId="0" xfId="0" applyFont="1" applyFill="1" applyAlignment="1">
      <alignment vertical="center"/>
    </xf>
    <xf numFmtId="0" fontId="21" fillId="9" borderId="0" xfId="0" applyFont="1" applyFill="1" applyAlignment="1">
      <alignment horizontal="right" vertical="center"/>
    </xf>
    <xf numFmtId="0" fontId="22" fillId="9" borderId="0" xfId="0" applyFont="1" applyFill="1" applyAlignment="1">
      <alignment vertical="center"/>
    </xf>
    <xf numFmtId="9" fontId="4" fillId="9" borderId="0" xfId="2" applyFont="1" applyFill="1" applyAlignment="1">
      <alignment vertical="center"/>
    </xf>
    <xf numFmtId="0" fontId="4" fillId="9" borderId="0" xfId="0" applyFont="1" applyFill="1" applyAlignment="1">
      <alignment horizontal="right" vertical="center"/>
    </xf>
    <xf numFmtId="4" fontId="4" fillId="9" borderId="0" xfId="0" applyNumberFormat="1" applyFont="1" applyFill="1" applyAlignment="1">
      <alignment vertical="center"/>
    </xf>
    <xf numFmtId="166" fontId="4" fillId="9" borderId="0" xfId="0" applyNumberFormat="1" applyFont="1" applyFill="1" applyAlignment="1">
      <alignment vertical="center"/>
    </xf>
    <xf numFmtId="0" fontId="23" fillId="9" borderId="0" xfId="0" applyFont="1" applyFill="1" applyAlignment="1">
      <alignment horizontal="left"/>
    </xf>
    <xf numFmtId="0" fontId="24" fillId="9" borderId="0" xfId="0" applyFont="1" applyFill="1" applyAlignment="1">
      <alignment vertical="center"/>
    </xf>
    <xf numFmtId="0" fontId="2" fillId="9" borderId="0" xfId="0" applyFont="1" applyFill="1" applyAlignment="1">
      <alignment vertical="center"/>
    </xf>
    <xf numFmtId="0" fontId="14" fillId="2" borderId="0" xfId="1" applyFont="1" applyFill="1" applyAlignment="1">
      <alignment horizontal="left" indent="2"/>
    </xf>
    <xf numFmtId="10" fontId="4" fillId="9" borderId="0" xfId="0" applyNumberFormat="1" applyFont="1" applyFill="1" applyAlignment="1">
      <alignment vertical="center"/>
    </xf>
    <xf numFmtId="0" fontId="7" fillId="2" borderId="0" xfId="0" applyFont="1" applyFill="1" applyAlignment="1">
      <alignment horizontal="right" vertical="center"/>
    </xf>
    <xf numFmtId="0" fontId="7" fillId="2" borderId="0" xfId="0" applyFont="1" applyFill="1" applyAlignment="1">
      <alignment vertical="center"/>
    </xf>
    <xf numFmtId="0" fontId="9" fillId="2" borderId="5" xfId="0" applyFont="1" applyFill="1" applyBorder="1" applyAlignment="1">
      <alignment vertical="center"/>
    </xf>
    <xf numFmtId="0" fontId="8" fillId="2" borderId="5" xfId="0" applyFont="1" applyFill="1" applyBorder="1" applyAlignment="1">
      <alignment horizontal="center" vertical="center"/>
    </xf>
    <xf numFmtId="0" fontId="8" fillId="2" borderId="5" xfId="0" applyFont="1" applyFill="1" applyBorder="1" applyAlignment="1">
      <alignment horizontal="right" vertical="center"/>
    </xf>
    <xf numFmtId="1" fontId="8" fillId="2" borderId="0" xfId="0" applyNumberFormat="1" applyFont="1" applyFill="1" applyAlignment="1">
      <alignment horizontal="left" vertical="center"/>
    </xf>
    <xf numFmtId="9" fontId="8" fillId="2" borderId="0" xfId="2" applyFont="1" applyFill="1" applyAlignment="1">
      <alignment horizontal="right" vertical="center"/>
    </xf>
    <xf numFmtId="0" fontId="8" fillId="2" borderId="0" xfId="0" applyFont="1" applyFill="1" applyAlignment="1">
      <alignment horizontal="left" vertical="center"/>
    </xf>
    <xf numFmtId="0" fontId="8" fillId="2" borderId="1" xfId="0" applyFont="1" applyFill="1" applyBorder="1" applyAlignment="1">
      <alignment horizontal="left" vertical="center"/>
    </xf>
    <xf numFmtId="0" fontId="7" fillId="2" borderId="1" xfId="0" applyFont="1" applyFill="1" applyBorder="1" applyAlignment="1">
      <alignment vertical="center"/>
    </xf>
    <xf numFmtId="9" fontId="8" fillId="2" borderId="1" xfId="2" applyFont="1" applyFill="1" applyBorder="1" applyAlignment="1">
      <alignment horizontal="right" vertical="center"/>
    </xf>
    <xf numFmtId="9" fontId="27" fillId="2" borderId="0" xfId="2" applyFont="1" applyFill="1" applyAlignment="1">
      <alignment horizontal="right" vertical="center"/>
    </xf>
    <xf numFmtId="0" fontId="8" fillId="2" borderId="5" xfId="0" quotePrefix="1" applyFont="1" applyFill="1" applyBorder="1" applyAlignment="1">
      <alignment horizontal="right" vertical="center"/>
    </xf>
    <xf numFmtId="0" fontId="8" fillId="2" borderId="1" xfId="0" applyFont="1" applyFill="1" applyBorder="1" applyAlignment="1">
      <alignment vertical="center"/>
    </xf>
    <xf numFmtId="9" fontId="27" fillId="2" borderId="1" xfId="2" applyFont="1" applyFill="1" applyBorder="1" applyAlignment="1">
      <alignment horizontal="right" vertical="center"/>
    </xf>
    <xf numFmtId="0" fontId="13" fillId="2" borderId="0" xfId="1" applyFont="1" applyFill="1" applyAlignment="1">
      <alignment horizontal="left"/>
    </xf>
    <xf numFmtId="0" fontId="9" fillId="2" borderId="0" xfId="0" applyFont="1" applyFill="1" applyAlignment="1">
      <alignment vertical="center"/>
    </xf>
    <xf numFmtId="0" fontId="9" fillId="2" borderId="1" xfId="0" applyFont="1" applyFill="1" applyBorder="1" applyAlignment="1">
      <alignment vertical="center"/>
    </xf>
    <xf numFmtId="0" fontId="8" fillId="2" borderId="1" xfId="0" applyFont="1" applyFill="1" applyBorder="1" applyAlignment="1">
      <alignment horizontal="right" vertical="center"/>
    </xf>
    <xf numFmtId="0" fontId="29" fillId="2" borderId="12" xfId="3" applyFont="1" applyFill="1" applyBorder="1" applyAlignment="1">
      <alignment vertical="center"/>
    </xf>
    <xf numFmtId="0" fontId="16" fillId="2" borderId="0" xfId="3" applyFont="1" applyFill="1"/>
    <xf numFmtId="0" fontId="29" fillId="2" borderId="14" xfId="3" applyFont="1" applyFill="1" applyBorder="1" applyAlignment="1">
      <alignment horizontal="center" wrapText="1"/>
    </xf>
    <xf numFmtId="0" fontId="29" fillId="2" borderId="15" xfId="3" applyFont="1" applyFill="1" applyBorder="1" applyAlignment="1">
      <alignment horizontal="center" wrapText="1"/>
    </xf>
    <xf numFmtId="0" fontId="16" fillId="2" borderId="16" xfId="3" applyFont="1" applyFill="1" applyBorder="1" applyAlignment="1">
      <alignment horizontal="center" vertical="center"/>
    </xf>
    <xf numFmtId="0" fontId="16" fillId="2" borderId="17" xfId="3" applyFont="1" applyFill="1" applyBorder="1" applyAlignment="1">
      <alignment vertical="center" wrapText="1"/>
    </xf>
    <xf numFmtId="0" fontId="16" fillId="2" borderId="17" xfId="3" applyFont="1" applyFill="1" applyBorder="1" applyAlignment="1">
      <alignment horizontal="center" vertical="center" wrapText="1"/>
    </xf>
    <xf numFmtId="0" fontId="16" fillId="2" borderId="17" xfId="3" applyFont="1" applyFill="1" applyBorder="1" applyAlignment="1">
      <alignment horizontal="center" vertical="center"/>
    </xf>
    <xf numFmtId="0" fontId="16" fillId="2" borderId="18" xfId="3" applyFont="1" applyFill="1" applyBorder="1" applyAlignment="1">
      <alignment horizontal="center" vertical="center"/>
    </xf>
    <xf numFmtId="0" fontId="16" fillId="2" borderId="9" xfId="3" applyFont="1" applyFill="1" applyBorder="1" applyAlignment="1">
      <alignment vertical="center" wrapText="1"/>
    </xf>
    <xf numFmtId="0" fontId="16" fillId="2" borderId="9" xfId="3" applyFont="1" applyFill="1" applyBorder="1" applyAlignment="1">
      <alignment horizontal="center" vertical="center" wrapText="1"/>
    </xf>
    <xf numFmtId="0" fontId="16" fillId="2" borderId="9" xfId="3" applyFont="1" applyFill="1" applyBorder="1" applyAlignment="1">
      <alignment horizontal="center" vertical="center"/>
    </xf>
    <xf numFmtId="0" fontId="16" fillId="2" borderId="19" xfId="3" applyFont="1" applyFill="1" applyBorder="1" applyAlignment="1">
      <alignment horizontal="center" vertical="center"/>
    </xf>
    <xf numFmtId="0" fontId="16" fillId="2" borderId="20" xfId="3" applyFont="1" applyFill="1" applyBorder="1" applyAlignment="1">
      <alignment vertical="center" wrapText="1"/>
    </xf>
    <xf numFmtId="0" fontId="16" fillId="2" borderId="20" xfId="3" applyFont="1" applyFill="1" applyBorder="1" applyAlignment="1">
      <alignment horizontal="center" vertical="center" wrapText="1"/>
    </xf>
    <xf numFmtId="0" fontId="16" fillId="2" borderId="20" xfId="3" applyFont="1" applyFill="1" applyBorder="1" applyAlignment="1">
      <alignment horizontal="center" vertical="center"/>
    </xf>
    <xf numFmtId="0" fontId="16" fillId="2" borderId="21" xfId="3" applyFont="1" applyFill="1" applyBorder="1" applyAlignment="1">
      <alignment horizontal="center" vertical="center"/>
    </xf>
    <xf numFmtId="0" fontId="16" fillId="2" borderId="22" xfId="3" applyFont="1" applyFill="1" applyBorder="1" applyAlignment="1">
      <alignment vertical="center" wrapText="1"/>
    </xf>
    <xf numFmtId="0" fontId="16" fillId="2" borderId="22" xfId="3" applyFont="1" applyFill="1" applyBorder="1" applyAlignment="1">
      <alignment horizontal="center" vertical="center" wrapText="1"/>
    </xf>
    <xf numFmtId="0" fontId="16" fillId="2" borderId="22" xfId="3" applyFont="1" applyFill="1" applyBorder="1" applyAlignment="1">
      <alignment horizontal="center" vertical="center"/>
    </xf>
    <xf numFmtId="0" fontId="16" fillId="2" borderId="23" xfId="3" applyFont="1" applyFill="1" applyBorder="1" applyAlignment="1">
      <alignment horizontal="center" vertical="center"/>
    </xf>
    <xf numFmtId="0" fontId="16" fillId="2" borderId="0" xfId="3" applyFont="1" applyFill="1" applyAlignment="1">
      <alignment horizontal="center"/>
    </xf>
    <xf numFmtId="0" fontId="16" fillId="2" borderId="0" xfId="3" applyFont="1" applyFill="1" applyAlignment="1">
      <alignment horizontal="center" wrapText="1"/>
    </xf>
    <xf numFmtId="0" fontId="13" fillId="2" borderId="3" xfId="1" applyFont="1" applyFill="1" applyBorder="1" applyAlignment="1">
      <alignment horizontal="center" vertical="center" wrapText="1"/>
    </xf>
    <xf numFmtId="0" fontId="1" fillId="2" borderId="0" xfId="0" applyFont="1" applyFill="1"/>
    <xf numFmtId="0" fontId="30" fillId="2" borderId="0" xfId="0" applyFont="1" applyFill="1" applyAlignment="1">
      <alignment horizontal="center" vertical="top" wrapText="1"/>
    </xf>
    <xf numFmtId="0" fontId="30" fillId="2" borderId="0" xfId="0" applyFont="1" applyFill="1" applyAlignment="1">
      <alignment horizontal="center" vertical="top"/>
    </xf>
    <xf numFmtId="0" fontId="1" fillId="2" borderId="0" xfId="0" applyFont="1" applyFill="1" applyAlignment="1">
      <alignment horizontal="left" vertical="center" wrapText="1"/>
    </xf>
    <xf numFmtId="0" fontId="1" fillId="2" borderId="0" xfId="0" applyFont="1" applyFill="1" applyAlignment="1">
      <alignment horizontal="left" wrapText="1"/>
    </xf>
    <xf numFmtId="0" fontId="32" fillId="0" borderId="0" xfId="0" applyFont="1" applyAlignment="1">
      <alignment horizontal="left" vertical="top" wrapText="1"/>
    </xf>
    <xf numFmtId="0" fontId="1" fillId="2" borderId="0" xfId="0" applyFont="1" applyFill="1" applyAlignment="1">
      <alignment horizontal="left" vertical="center" wrapText="1"/>
    </xf>
    <xf numFmtId="0" fontId="9" fillId="2" borderId="0" xfId="0" applyFont="1" applyFill="1" applyAlignment="1">
      <alignment horizontal="left" vertical="center" wrapText="1"/>
    </xf>
    <xf numFmtId="0" fontId="9" fillId="2" borderId="0" xfId="0" applyFont="1" applyFill="1" applyAlignment="1">
      <alignment horizontal="left" wrapText="1"/>
    </xf>
    <xf numFmtId="0" fontId="29" fillId="2" borderId="0" xfId="0" applyFont="1" applyFill="1" applyAlignment="1">
      <alignment horizontal="left" vertical="top" wrapText="1"/>
    </xf>
    <xf numFmtId="0" fontId="29" fillId="2" borderId="0" xfId="0" applyFont="1" applyFill="1" applyAlignment="1">
      <alignment horizontal="left" wrapText="1"/>
    </xf>
    <xf numFmtId="0" fontId="30" fillId="2" borderId="0" xfId="0" applyFont="1" applyFill="1" applyAlignment="1">
      <alignment horizontal="left" vertical="center" wrapText="1"/>
    </xf>
    <xf numFmtId="0" fontId="31"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vertical="center" wrapText="1"/>
    </xf>
    <xf numFmtId="0" fontId="1" fillId="2" borderId="0" xfId="0" applyFont="1" applyFill="1" applyAlignment="1">
      <alignment wrapText="1"/>
    </xf>
    <xf numFmtId="0" fontId="29" fillId="2" borderId="5" xfId="3" applyFont="1" applyFill="1" applyBorder="1" applyAlignment="1">
      <alignment horizontal="center" vertical="center"/>
    </xf>
    <xf numFmtId="0" fontId="29" fillId="2" borderId="12" xfId="3" applyFont="1" applyFill="1" applyBorder="1" applyAlignment="1">
      <alignment horizontal="center"/>
    </xf>
    <xf numFmtId="0" fontId="29" fillId="2" borderId="13" xfId="3" applyFont="1" applyFill="1" applyBorder="1" applyAlignment="1">
      <alignment horizontal="center"/>
    </xf>
    <xf numFmtId="0" fontId="13" fillId="2" borderId="0" xfId="1" applyFont="1" applyFill="1" applyAlignment="1">
      <alignment horizontal="center" vertical="center" wrapText="1"/>
    </xf>
    <xf numFmtId="0" fontId="3" fillId="6" borderId="8" xfId="0" applyFont="1" applyFill="1" applyBorder="1" applyAlignment="1">
      <alignment horizontal="center" vertical="center" textRotation="90" wrapText="1"/>
    </xf>
    <xf numFmtId="0" fontId="3" fillId="6" borderId="0" xfId="0" applyFont="1" applyFill="1" applyAlignment="1">
      <alignment horizontal="center" vertical="center" textRotation="90" wrapText="1"/>
    </xf>
    <xf numFmtId="0" fontId="3" fillId="6" borderId="7" xfId="0" applyFont="1" applyFill="1" applyBorder="1" applyAlignment="1">
      <alignment horizontal="center" vertical="center" textRotation="90" wrapText="1"/>
    </xf>
    <xf numFmtId="0" fontId="26" fillId="9" borderId="4" xfId="1" applyFont="1" applyFill="1" applyBorder="1" applyAlignment="1">
      <alignment horizontal="center" vertical="center" wrapText="1"/>
    </xf>
    <xf numFmtId="0" fontId="26" fillId="9" borderId="2" xfId="1" applyFont="1" applyFill="1" applyBorder="1" applyAlignment="1">
      <alignment horizontal="center" vertical="center" wrapText="1"/>
    </xf>
    <xf numFmtId="0" fontId="3" fillId="4" borderId="6" xfId="0" applyFont="1" applyFill="1" applyBorder="1" applyAlignment="1">
      <alignment horizontal="center" vertical="center" textRotation="90" wrapText="1"/>
    </xf>
    <xf numFmtId="0" fontId="3" fillId="4" borderId="0" xfId="0" applyFont="1" applyFill="1" applyAlignment="1">
      <alignment horizontal="center" vertical="center" textRotation="90"/>
    </xf>
    <xf numFmtId="0" fontId="3" fillId="5" borderId="8" xfId="0" applyFont="1" applyFill="1" applyBorder="1" applyAlignment="1">
      <alignment horizontal="center" vertical="center" textRotation="90" wrapText="1"/>
    </xf>
    <xf numFmtId="0" fontId="3" fillId="5" borderId="0" xfId="0" applyFont="1" applyFill="1" applyAlignment="1">
      <alignment horizontal="center" vertical="center" textRotation="90"/>
    </xf>
    <xf numFmtId="0" fontId="3" fillId="5" borderId="7" xfId="0" applyFont="1" applyFill="1" applyBorder="1" applyAlignment="1">
      <alignment horizontal="center" vertical="center" textRotation="90"/>
    </xf>
    <xf numFmtId="0" fontId="3" fillId="3" borderId="0" xfId="0" applyFont="1" applyFill="1" applyAlignment="1">
      <alignment horizontal="center" vertical="center" textRotation="90" wrapText="1"/>
    </xf>
    <xf numFmtId="0" fontId="3" fillId="3" borderId="7" xfId="0" applyFont="1" applyFill="1" applyBorder="1" applyAlignment="1">
      <alignment horizontal="center" vertical="center" textRotation="90" wrapText="1"/>
    </xf>
    <xf numFmtId="0" fontId="3" fillId="9" borderId="8" xfId="0" applyFont="1" applyFill="1" applyBorder="1" applyAlignment="1">
      <alignment horizontal="center" vertical="center" textRotation="90" wrapText="1"/>
    </xf>
    <xf numFmtId="0" fontId="3" fillId="9" borderId="0" xfId="0" applyFont="1" applyFill="1" applyAlignment="1">
      <alignment horizontal="center" vertical="center" textRotation="90"/>
    </xf>
    <xf numFmtId="0" fontId="3" fillId="9" borderId="1" xfId="0" applyFont="1" applyFill="1" applyBorder="1" applyAlignment="1">
      <alignment horizontal="center" vertical="center" textRotation="90"/>
    </xf>
    <xf numFmtId="0" fontId="19" fillId="9" borderId="0" xfId="0" applyFont="1" applyFill="1" applyAlignment="1">
      <alignment horizontal="center" vertical="center"/>
    </xf>
    <xf numFmtId="0" fontId="19" fillId="9" borderId="9" xfId="0" applyFont="1" applyFill="1" applyBorder="1" applyAlignment="1">
      <alignment horizontal="center" vertical="center"/>
    </xf>
    <xf numFmtId="0" fontId="8" fillId="9" borderId="10" xfId="0" applyFont="1" applyFill="1" applyBorder="1" applyAlignment="1">
      <alignment horizontal="center" vertical="center"/>
    </xf>
    <xf numFmtId="0" fontId="8" fillId="9" borderId="11" xfId="0" applyFont="1" applyFill="1" applyBorder="1" applyAlignment="1">
      <alignment horizontal="center" vertical="center"/>
    </xf>
    <xf numFmtId="0" fontId="3" fillId="8" borderId="8" xfId="0" applyFont="1" applyFill="1" applyBorder="1" applyAlignment="1">
      <alignment horizontal="center" vertical="center" textRotation="90" wrapText="1"/>
    </xf>
    <xf numFmtId="0" fontId="3" fillId="8" borderId="0" xfId="0" applyFont="1" applyFill="1" applyAlignment="1">
      <alignment horizontal="center" vertical="center" textRotation="90" wrapText="1"/>
    </xf>
    <xf numFmtId="0" fontId="3" fillId="8" borderId="7" xfId="0" applyFont="1" applyFill="1" applyBorder="1" applyAlignment="1">
      <alignment horizontal="center" vertical="center" textRotation="90" wrapText="1"/>
    </xf>
    <xf numFmtId="0" fontId="3" fillId="3" borderId="8" xfId="0" applyFont="1" applyFill="1" applyBorder="1" applyAlignment="1">
      <alignment horizontal="center" vertical="center" textRotation="90"/>
    </xf>
    <xf numFmtId="0" fontId="3" fillId="3" borderId="0" xfId="0" applyFont="1" applyFill="1" applyAlignment="1">
      <alignment horizontal="center" vertical="center" textRotation="90"/>
    </xf>
    <xf numFmtId="0" fontId="13" fillId="2" borderId="0" xfId="1" applyFont="1" applyFill="1" applyAlignment="1">
      <alignment horizontal="right" vertical="center" wrapText="1"/>
    </xf>
    <xf numFmtId="0" fontId="3" fillId="2" borderId="0" xfId="0" applyFont="1" applyFill="1" applyAlignment="1">
      <alignment horizontal="left" vertical="center" wrapText="1"/>
    </xf>
    <xf numFmtId="0" fontId="13" fillId="2" borderId="1" xfId="1" applyFont="1" applyFill="1" applyBorder="1" applyAlignment="1">
      <alignment horizontal="right" vertical="center" wrapText="1"/>
    </xf>
    <xf numFmtId="0" fontId="30" fillId="2" borderId="0" xfId="0" applyFont="1" applyFill="1" applyAlignment="1"/>
    <xf numFmtId="0" fontId="8" fillId="2" borderId="0" xfId="0" applyFont="1" applyFill="1" applyAlignment="1"/>
    <xf numFmtId="0" fontId="31" fillId="2" borderId="0" xfId="0" applyFont="1" applyFill="1" applyAlignment="1"/>
    <xf numFmtId="0" fontId="1" fillId="2" borderId="0" xfId="0" applyFont="1" applyFill="1" applyAlignment="1"/>
  </cellXfs>
  <cellStyles count="4">
    <cellStyle name="Hyperlink" xfId="1" builtinId="8"/>
    <cellStyle name="Normal" xfId="0" builtinId="0"/>
    <cellStyle name="Normal 2 2" xfId="3" xr:uid="{B9B72F82-041A-442A-AB32-9892771B2358}"/>
    <cellStyle name="Percent 2" xfId="2" xr:uid="{2A49C76C-78C1-4C05-B17D-305ABB1D67F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trawl'!$A$49</c:f>
          <c:strCache>
            <c:ptCount val="1"/>
            <c:pt idx="0">
              <c:v>Landings per kW day at sea (kg)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E5E-48C5-A96B-8818343BFF2D}"/>
              </c:ext>
            </c:extLst>
          </c:dPt>
          <c:dPt>
            <c:idx val="10"/>
            <c:bubble3D val="0"/>
            <c:spPr>
              <a:ln w="57150">
                <a:solidFill>
                  <a:srgbClr val="2273B9"/>
                </a:solidFill>
                <a:prstDash val="sysDot"/>
              </a:ln>
            </c:spPr>
            <c:extLst>
              <c:ext xmlns:c16="http://schemas.microsoft.com/office/drawing/2014/chart" uri="{C3380CC4-5D6E-409C-BE32-E72D297353CC}">
                <c16:uniqueId val="{00000003-3E5E-48C5-A96B-8818343BFF2D}"/>
              </c:ext>
            </c:extLst>
          </c:dPt>
          <c:cat>
            <c:numRef>
              <c:f>'Area VIIa demersal trawl'!$D$2:$N$2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demersal trawl'!$D$22:$N$22</c:f>
              <c:numCache>
                <c:formatCode>#,##0.00</c:formatCode>
                <c:ptCount val="11"/>
                <c:pt idx="0">
                  <c:v>9.0302183956802242</c:v>
                </c:pt>
                <c:pt idx="1">
                  <c:v>5.0591183343934532</c:v>
                </c:pt>
                <c:pt idx="2">
                  <c:v>4.0653059428622118</c:v>
                </c:pt>
                <c:pt idx="3">
                  <c:v>4.2261352852664862</c:v>
                </c:pt>
                <c:pt idx="4">
                  <c:v>3.6625630452172468</c:v>
                </c:pt>
                <c:pt idx="5">
                  <c:v>3.3510553793109872</c:v>
                </c:pt>
                <c:pt idx="6">
                  <c:v>4.0765249479553862</c:v>
                </c:pt>
                <c:pt idx="7">
                  <c:v>3.535603763741678</c:v>
                </c:pt>
                <c:pt idx="8">
                  <c:v>2.6390790833184767</c:v>
                </c:pt>
                <c:pt idx="9">
                  <c:v>3.1720800613188072</c:v>
                </c:pt>
                <c:pt idx="10">
                  <c:v>4.1792672931767321</c:v>
                </c:pt>
              </c:numCache>
            </c:numRef>
          </c:val>
          <c:smooth val="0"/>
          <c:extLst>
            <c:ext xmlns:c16="http://schemas.microsoft.com/office/drawing/2014/chart" uri="{C3380CC4-5D6E-409C-BE32-E72D297353CC}">
              <c16:uniqueId val="{00000004-3E5E-48C5-A96B-8818343BFF2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demersal trawl'!$B$163</c:f>
              <c:strCache>
                <c:ptCount val="1"/>
                <c:pt idx="0">
                  <c:v>Haddock</c:v>
                </c:pt>
              </c:strCache>
            </c:strRef>
          </c:tx>
          <c:spPr>
            <a:solidFill>
              <a:srgbClr val="2273B9"/>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trawl'!$C$163:$E$163</c:f>
              <c:numCache>
                <c:formatCode>0%</c:formatCode>
                <c:ptCount val="3"/>
                <c:pt idx="0">
                  <c:v>0</c:v>
                </c:pt>
                <c:pt idx="1">
                  <c:v>0</c:v>
                </c:pt>
                <c:pt idx="2">
                  <c:v>0</c:v>
                </c:pt>
              </c:numCache>
            </c:numRef>
          </c:val>
          <c:extLst>
            <c:ext xmlns:c16="http://schemas.microsoft.com/office/drawing/2014/chart" uri="{C3380CC4-5D6E-409C-BE32-E72D297353CC}">
              <c16:uniqueId val="{00000000-51F4-4FD0-876B-4FE76EBD5D4E}"/>
            </c:ext>
          </c:extLst>
        </c:ser>
        <c:ser>
          <c:idx val="1"/>
          <c:order val="1"/>
          <c:tx>
            <c:strRef>
              <c:f>'Area VIIa demersal trawl'!$B$164</c:f>
              <c:strCache>
                <c:ptCount val="1"/>
                <c:pt idx="0">
                  <c:v>Hake</c:v>
                </c:pt>
              </c:strCache>
            </c:strRef>
          </c:tx>
          <c:spPr>
            <a:solidFill>
              <a:srgbClr val="648C2E"/>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trawl'!$C$164:$E$164</c:f>
              <c:numCache>
                <c:formatCode>0%</c:formatCode>
                <c:ptCount val="3"/>
                <c:pt idx="0">
                  <c:v>0</c:v>
                </c:pt>
                <c:pt idx="1">
                  <c:v>0</c:v>
                </c:pt>
                <c:pt idx="2">
                  <c:v>0</c:v>
                </c:pt>
              </c:numCache>
            </c:numRef>
          </c:val>
          <c:extLst>
            <c:ext xmlns:c16="http://schemas.microsoft.com/office/drawing/2014/chart" uri="{C3380CC4-5D6E-409C-BE32-E72D297353CC}">
              <c16:uniqueId val="{00000001-51F4-4FD0-876B-4FE76EBD5D4E}"/>
            </c:ext>
          </c:extLst>
        </c:ser>
        <c:ser>
          <c:idx val="2"/>
          <c:order val="2"/>
          <c:tx>
            <c:strRef>
              <c:f>'Area VIIa demersal trawl'!$B$165</c:f>
              <c:strCache>
                <c:ptCount val="1"/>
                <c:pt idx="0">
                  <c:v>Scallops</c:v>
                </c:pt>
              </c:strCache>
            </c:strRef>
          </c:tx>
          <c:spPr>
            <a:solidFill>
              <a:srgbClr val="E87308"/>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trawl'!$C$165:$E$165</c:f>
              <c:numCache>
                <c:formatCode>0%</c:formatCode>
                <c:ptCount val="3"/>
                <c:pt idx="0">
                  <c:v>0</c:v>
                </c:pt>
                <c:pt idx="1">
                  <c:v>0</c:v>
                </c:pt>
                <c:pt idx="2">
                  <c:v>0</c:v>
                </c:pt>
              </c:numCache>
            </c:numRef>
          </c:val>
          <c:extLst>
            <c:ext xmlns:c16="http://schemas.microsoft.com/office/drawing/2014/chart" uri="{C3380CC4-5D6E-409C-BE32-E72D297353CC}">
              <c16:uniqueId val="{00000002-51F4-4FD0-876B-4FE76EBD5D4E}"/>
            </c:ext>
          </c:extLst>
        </c:ser>
        <c:ser>
          <c:idx val="3"/>
          <c:order val="3"/>
          <c:tx>
            <c:strRef>
              <c:f>'Area VIIa demersal trawl'!$B$166</c:f>
              <c:strCache>
                <c:ptCount val="1"/>
                <c:pt idx="0">
                  <c:v>Nephrops</c:v>
                </c:pt>
              </c:strCache>
            </c:strRef>
          </c:tx>
          <c:spPr>
            <a:solidFill>
              <a:srgbClr val="E84A38"/>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trawl'!$C$166:$E$166</c:f>
              <c:numCache>
                <c:formatCode>0%</c:formatCode>
                <c:ptCount val="3"/>
                <c:pt idx="0">
                  <c:v>0</c:v>
                </c:pt>
                <c:pt idx="1">
                  <c:v>0</c:v>
                </c:pt>
                <c:pt idx="2">
                  <c:v>0</c:v>
                </c:pt>
              </c:numCache>
            </c:numRef>
          </c:val>
          <c:extLst>
            <c:ext xmlns:c16="http://schemas.microsoft.com/office/drawing/2014/chart" uri="{C3380CC4-5D6E-409C-BE32-E72D297353CC}">
              <c16:uniqueId val="{00000003-51F4-4FD0-876B-4FE76EBD5D4E}"/>
            </c:ext>
          </c:extLst>
        </c:ser>
        <c:ser>
          <c:idx val="4"/>
          <c:order val="4"/>
          <c:tx>
            <c:strRef>
              <c:f>'Area VIIa demersal trawl'!$B$167</c:f>
              <c:strCache>
                <c:ptCount val="1"/>
                <c:pt idx="0">
                  <c:v>Cod</c:v>
                </c:pt>
              </c:strCache>
            </c:strRef>
          </c:tx>
          <c:spPr>
            <a:solidFill>
              <a:srgbClr val="C1D119"/>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trawl'!$C$167:$E$167</c:f>
              <c:numCache>
                <c:formatCode>0%</c:formatCode>
                <c:ptCount val="3"/>
                <c:pt idx="0">
                  <c:v>0</c:v>
                </c:pt>
                <c:pt idx="1">
                  <c:v>0</c:v>
                </c:pt>
                <c:pt idx="2">
                  <c:v>0</c:v>
                </c:pt>
              </c:numCache>
            </c:numRef>
          </c:val>
          <c:extLst>
            <c:ext xmlns:c16="http://schemas.microsoft.com/office/drawing/2014/chart" uri="{C3380CC4-5D6E-409C-BE32-E72D297353CC}">
              <c16:uniqueId val="{00000004-51F4-4FD0-876B-4FE76EBD5D4E}"/>
            </c:ext>
          </c:extLst>
        </c:ser>
        <c:ser>
          <c:idx val="5"/>
          <c:order val="5"/>
          <c:tx>
            <c:strRef>
              <c:f>'Area VIIa demersal trawl'!$B$168</c:f>
              <c:strCache>
                <c:ptCount val="1"/>
                <c:pt idx="0">
                  <c:v>Plaice</c:v>
                </c:pt>
              </c:strCache>
            </c:strRef>
          </c:tx>
          <c:spPr>
            <a:solidFill>
              <a:srgbClr val="FED825"/>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trawl'!$C$168:$E$168</c:f>
              <c:numCache>
                <c:formatCode>0%</c:formatCode>
                <c:ptCount val="3"/>
                <c:pt idx="0">
                  <c:v>0</c:v>
                </c:pt>
                <c:pt idx="1">
                  <c:v>0</c:v>
                </c:pt>
                <c:pt idx="2">
                  <c:v>0</c:v>
                </c:pt>
              </c:numCache>
            </c:numRef>
          </c:val>
          <c:extLst>
            <c:ext xmlns:c16="http://schemas.microsoft.com/office/drawing/2014/chart" uri="{C3380CC4-5D6E-409C-BE32-E72D297353CC}">
              <c16:uniqueId val="{00000005-51F4-4FD0-876B-4FE76EBD5D4E}"/>
            </c:ext>
          </c:extLst>
        </c:ser>
        <c:ser>
          <c:idx val="6"/>
          <c:order val="6"/>
          <c:tx>
            <c:strRef>
              <c:f>'Area VIIa demersal trawl'!$B$169</c:f>
              <c:strCache>
                <c:ptCount val="1"/>
                <c:pt idx="0">
                  <c:v>Thornback Ray</c:v>
                </c:pt>
              </c:strCache>
            </c:strRef>
          </c:tx>
          <c:spPr>
            <a:solidFill>
              <a:srgbClr val="707271"/>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trawl'!$C$169:$E$169</c:f>
              <c:numCache>
                <c:formatCode>0%</c:formatCode>
                <c:ptCount val="3"/>
                <c:pt idx="0">
                  <c:v>0</c:v>
                </c:pt>
                <c:pt idx="1">
                  <c:v>0</c:v>
                </c:pt>
                <c:pt idx="2">
                  <c:v>0</c:v>
                </c:pt>
              </c:numCache>
            </c:numRef>
          </c:val>
          <c:extLst>
            <c:ext xmlns:c16="http://schemas.microsoft.com/office/drawing/2014/chart" uri="{C3380CC4-5D6E-409C-BE32-E72D297353CC}">
              <c16:uniqueId val="{00000006-51F4-4FD0-876B-4FE76EBD5D4E}"/>
            </c:ext>
          </c:extLst>
        </c:ser>
        <c:ser>
          <c:idx val="7"/>
          <c:order val="7"/>
          <c:tx>
            <c:strRef>
              <c:f>'Area VIIa demersal trawl'!$B$170</c:f>
              <c:strCache>
                <c:ptCount val="1"/>
                <c:pt idx="0">
                  <c:v>Sole</c:v>
                </c:pt>
              </c:strCache>
            </c:strRef>
          </c:tx>
          <c:spPr>
            <a:solidFill>
              <a:srgbClr val="51AA81"/>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trawl'!$C$170:$E$170</c:f>
              <c:numCache>
                <c:formatCode>0%</c:formatCode>
                <c:ptCount val="3"/>
                <c:pt idx="0">
                  <c:v>0</c:v>
                </c:pt>
                <c:pt idx="1">
                  <c:v>0</c:v>
                </c:pt>
                <c:pt idx="2">
                  <c:v>0</c:v>
                </c:pt>
              </c:numCache>
            </c:numRef>
          </c:val>
          <c:extLst>
            <c:ext xmlns:c16="http://schemas.microsoft.com/office/drawing/2014/chart" uri="{C3380CC4-5D6E-409C-BE32-E72D297353CC}">
              <c16:uniqueId val="{00000007-51F4-4FD0-876B-4FE76EBD5D4E}"/>
            </c:ext>
          </c:extLst>
        </c:ser>
        <c:ser>
          <c:idx val="8"/>
          <c:order val="8"/>
          <c:tx>
            <c:strRef>
              <c:f>'Area VIIa demersal trawl'!$B$171</c:f>
              <c:strCache>
                <c:ptCount val="1"/>
                <c:pt idx="0">
                  <c:v>Herring</c:v>
                </c:pt>
              </c:strCache>
            </c:strRef>
          </c:tx>
          <c:spPr>
            <a:solidFill>
              <a:srgbClr val="0F9AA9"/>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trawl'!$C$171:$E$171</c:f>
              <c:numCache>
                <c:formatCode>0%</c:formatCode>
                <c:ptCount val="3"/>
                <c:pt idx="0">
                  <c:v>0</c:v>
                </c:pt>
                <c:pt idx="1">
                  <c:v>0</c:v>
                </c:pt>
                <c:pt idx="2">
                  <c:v>0</c:v>
                </c:pt>
              </c:numCache>
            </c:numRef>
          </c:val>
          <c:extLst>
            <c:ext xmlns:c16="http://schemas.microsoft.com/office/drawing/2014/chart" uri="{C3380CC4-5D6E-409C-BE32-E72D297353CC}">
              <c16:uniqueId val="{00000008-51F4-4FD0-876B-4FE76EBD5D4E}"/>
            </c:ext>
          </c:extLst>
        </c:ser>
        <c:ser>
          <c:idx val="9"/>
          <c:order val="9"/>
          <c:tx>
            <c:strRef>
              <c:f>'Area VIIa demersal trawl'!$B$172</c:f>
              <c:strCache>
                <c:ptCount val="1"/>
                <c:pt idx="0">
                  <c:v>Others</c:v>
                </c:pt>
              </c:strCache>
            </c:strRef>
          </c:tx>
          <c:spPr>
            <a:solidFill>
              <a:srgbClr val="55585A"/>
            </a:solidFill>
            <a:ln>
              <a:solidFill>
                <a:srgbClr val="FFFFFF"/>
              </a:solidFill>
            </a:ln>
          </c:spPr>
          <c:invertIfNegative val="0"/>
          <c:cat>
            <c:strRef>
              <c:f>'Area VIIa demersal trawl'!$C$162:$E$162</c:f>
              <c:strCache>
                <c:ptCount val="3"/>
                <c:pt idx="0">
                  <c:v>Most
profitable
quartile</c:v>
                </c:pt>
                <c:pt idx="1">
                  <c:v>Middle 
two quartiles</c:v>
                </c:pt>
                <c:pt idx="2">
                  <c:v>Least
profitable
quartile</c:v>
                </c:pt>
              </c:strCache>
            </c:strRef>
          </c:cat>
          <c:val>
            <c:numRef>
              <c:f>'Area VIIa demersal trawl'!$C$172:$E$172</c:f>
              <c:numCache>
                <c:formatCode>0%</c:formatCode>
                <c:ptCount val="3"/>
                <c:pt idx="0">
                  <c:v>0</c:v>
                </c:pt>
                <c:pt idx="1">
                  <c:v>0</c:v>
                </c:pt>
                <c:pt idx="2">
                  <c:v>0</c:v>
                </c:pt>
              </c:numCache>
            </c:numRef>
          </c:val>
          <c:extLst>
            <c:ext xmlns:c16="http://schemas.microsoft.com/office/drawing/2014/chart" uri="{C3380CC4-5D6E-409C-BE32-E72D297353CC}">
              <c16:uniqueId val="{00000009-51F4-4FD0-876B-4FE76EBD5D4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10m'!$K$49</c:f>
          <c:strCache>
            <c:ptCount val="1"/>
            <c:pt idx="0">
              <c:v>Operating profit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A9A-4FC2-8C01-F91A75C86019}"/>
              </c:ext>
            </c:extLst>
          </c:dPt>
          <c:dPt>
            <c:idx val="10"/>
            <c:bubble3D val="0"/>
            <c:spPr>
              <a:ln w="57150">
                <a:solidFill>
                  <a:schemeClr val="accent3"/>
                </a:solidFill>
                <a:prstDash val="sysDot"/>
              </a:ln>
            </c:spPr>
            <c:extLst>
              <c:ext xmlns:c16="http://schemas.microsoft.com/office/drawing/2014/chart" uri="{C3380CC4-5D6E-409C-BE32-E72D297353CC}">
                <c16:uniqueId val="{00000003-6A9A-4FC2-8C01-F91A75C86019}"/>
              </c:ext>
            </c:extLst>
          </c:dPt>
          <c:cat>
            <c:numRef>
              <c:f>'Low activity under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under 10m'!$D$25:$N$25</c:f>
              <c:numCache>
                <c:formatCode>#,##0.00</c:formatCode>
                <c:ptCount val="11"/>
                <c:pt idx="0">
                  <c:v>1.14914309508487</c:v>
                </c:pt>
                <c:pt idx="1">
                  <c:v>3.7834888751759402E-2</c:v>
                </c:pt>
                <c:pt idx="2">
                  <c:v>0.76001604460630201</c:v>
                </c:pt>
                <c:pt idx="3">
                  <c:v>-0.56640457804264499</c:v>
                </c:pt>
                <c:pt idx="4">
                  <c:v>0.888075571419224</c:v>
                </c:pt>
                <c:pt idx="5">
                  <c:v>1.4874237201331599</c:v>
                </c:pt>
                <c:pt idx="6">
                  <c:v>0.28829694107299397</c:v>
                </c:pt>
                <c:pt idx="7">
                  <c:v>0.184403739662132</c:v>
                </c:pt>
                <c:pt idx="8">
                  <c:v>0.93007106938813899</c:v>
                </c:pt>
                <c:pt idx="9">
                  <c:v>-1.49458165568169</c:v>
                </c:pt>
                <c:pt idx="10">
                  <c:v>-1.6756503631150457</c:v>
                </c:pt>
              </c:numCache>
            </c:numRef>
          </c:val>
          <c:smooth val="0"/>
          <c:extLst>
            <c:ext xmlns:c16="http://schemas.microsoft.com/office/drawing/2014/chart" uri="{C3380CC4-5D6E-409C-BE32-E72D297353CC}">
              <c16:uniqueId val="{00000004-6A9A-4FC2-8C01-F91A75C8601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10m'!$A$51</c:f>
          <c:strCache>
            <c:ptCount val="1"/>
            <c:pt idx="0">
              <c:v>Average price per tonne landed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EFE-4CE1-B1BD-8256375F8AC0}"/>
              </c:ext>
            </c:extLst>
          </c:dPt>
          <c:dPt>
            <c:idx val="10"/>
            <c:bubble3D val="0"/>
            <c:spPr>
              <a:ln w="57150">
                <a:solidFill>
                  <a:schemeClr val="accent4"/>
                </a:solidFill>
                <a:prstDash val="sysDot"/>
              </a:ln>
            </c:spPr>
            <c:extLst>
              <c:ext xmlns:c16="http://schemas.microsoft.com/office/drawing/2014/chart" uri="{C3380CC4-5D6E-409C-BE32-E72D297353CC}">
                <c16:uniqueId val="{00000003-EEFE-4CE1-B1BD-8256375F8AC0}"/>
              </c:ext>
            </c:extLst>
          </c:dPt>
          <c:cat>
            <c:numRef>
              <c:f>'Low activity under 10m'!$D$2:$M$2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10m'!$D$21:$N$21</c:f>
              <c:numCache>
                <c:formatCode>#,##0</c:formatCode>
                <c:ptCount val="11"/>
                <c:pt idx="0">
                  <c:v>3093</c:v>
                </c:pt>
                <c:pt idx="1">
                  <c:v>2990</c:v>
                </c:pt>
                <c:pt idx="2">
                  <c:v>2677</c:v>
                </c:pt>
                <c:pt idx="3">
                  <c:v>2814</c:v>
                </c:pt>
                <c:pt idx="4">
                  <c:v>3166</c:v>
                </c:pt>
                <c:pt idx="5">
                  <c:v>3356</c:v>
                </c:pt>
                <c:pt idx="6">
                  <c:v>3423</c:v>
                </c:pt>
                <c:pt idx="7">
                  <c:v>3424</c:v>
                </c:pt>
                <c:pt idx="8">
                  <c:v>3135</c:v>
                </c:pt>
                <c:pt idx="9">
                  <c:v>3569</c:v>
                </c:pt>
                <c:pt idx="10">
                  <c:v>3552</c:v>
                </c:pt>
              </c:numCache>
            </c:numRef>
          </c:val>
          <c:smooth val="0"/>
          <c:extLst>
            <c:ext xmlns:c16="http://schemas.microsoft.com/office/drawing/2014/chart" uri="{C3380CC4-5D6E-409C-BE32-E72D297353CC}">
              <c16:uniqueId val="{00000004-EEFE-4CE1-B1BD-8256375F8AC0}"/>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10m'!$K$63</c:f>
          <c:strCache>
            <c:ptCount val="1"/>
            <c:pt idx="0">
              <c:v>Average annual operating profit per vessel (£'000)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0FE-402D-9A4B-F23C14E5D9FB}"/>
              </c:ext>
            </c:extLst>
          </c:dPt>
          <c:dPt>
            <c:idx val="10"/>
            <c:bubble3D val="0"/>
            <c:spPr>
              <a:ln w="57150">
                <a:solidFill>
                  <a:schemeClr val="accent5"/>
                </a:solidFill>
                <a:prstDash val="sysDot"/>
              </a:ln>
            </c:spPr>
            <c:extLst>
              <c:ext xmlns:c16="http://schemas.microsoft.com/office/drawing/2014/chart" uri="{C3380CC4-5D6E-409C-BE32-E72D297353CC}">
                <c16:uniqueId val="{00000003-B0FE-402D-9A4B-F23C14E5D9FB}"/>
              </c:ext>
            </c:extLst>
          </c:dPt>
          <c:cat>
            <c:numRef>
              <c:f>'Low activity under 10m'!$D$2:$M$2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10m'!$D$38:$N$38</c:f>
              <c:numCache>
                <c:formatCode>#,##0.0</c:formatCode>
                <c:ptCount val="11"/>
                <c:pt idx="0">
                  <c:v>0.9</c:v>
                </c:pt>
                <c:pt idx="2">
                  <c:v>0.8</c:v>
                </c:pt>
                <c:pt idx="3">
                  <c:v>-0.6</c:v>
                </c:pt>
                <c:pt idx="4">
                  <c:v>0.8</c:v>
                </c:pt>
                <c:pt idx="5">
                  <c:v>1.2</c:v>
                </c:pt>
                <c:pt idx="6">
                  <c:v>0.2</c:v>
                </c:pt>
                <c:pt idx="7">
                  <c:v>0.1</c:v>
                </c:pt>
                <c:pt idx="8">
                  <c:v>0.6</c:v>
                </c:pt>
                <c:pt idx="9">
                  <c:v>-0.9</c:v>
                </c:pt>
                <c:pt idx="10">
                  <c:v>-0.9</c:v>
                </c:pt>
              </c:numCache>
            </c:numRef>
          </c:val>
          <c:smooth val="0"/>
          <c:extLst>
            <c:ext xmlns:c16="http://schemas.microsoft.com/office/drawing/2014/chart" uri="{C3380CC4-5D6E-409C-BE32-E72D297353CC}">
              <c16:uniqueId val="{00000004-B0FE-402D-9A4B-F23C14E5D9F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10m'!$A$77</c:f>
          <c:strCache>
            <c:ptCount val="1"/>
            <c:pt idx="0">
              <c:v>Top 5 landed species by volume in 2021
Low activity under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D1DD-4A20-BD6E-44A1C8D14AD4}"/>
              </c:ext>
            </c:extLst>
          </c:dPt>
          <c:dPt>
            <c:idx val="1"/>
            <c:bubble3D val="0"/>
            <c:spPr>
              <a:solidFill>
                <a:srgbClr val="E84A38"/>
              </a:solidFill>
              <a:ln>
                <a:solidFill>
                  <a:srgbClr val="FFFFFF"/>
                </a:solidFill>
              </a:ln>
            </c:spPr>
            <c:extLst>
              <c:ext xmlns:c16="http://schemas.microsoft.com/office/drawing/2014/chart" uri="{C3380CC4-5D6E-409C-BE32-E72D297353CC}">
                <c16:uniqueId val="{00000003-D1DD-4A20-BD6E-44A1C8D14AD4}"/>
              </c:ext>
            </c:extLst>
          </c:dPt>
          <c:dPt>
            <c:idx val="2"/>
            <c:bubble3D val="0"/>
            <c:spPr>
              <a:solidFill>
                <a:srgbClr val="2273B9"/>
              </a:solidFill>
              <a:ln>
                <a:solidFill>
                  <a:srgbClr val="FFFFFF"/>
                </a:solidFill>
              </a:ln>
            </c:spPr>
            <c:extLst>
              <c:ext xmlns:c16="http://schemas.microsoft.com/office/drawing/2014/chart" uri="{C3380CC4-5D6E-409C-BE32-E72D297353CC}">
                <c16:uniqueId val="{00000005-D1DD-4A20-BD6E-44A1C8D14AD4}"/>
              </c:ext>
            </c:extLst>
          </c:dPt>
          <c:dPt>
            <c:idx val="3"/>
            <c:bubble3D val="0"/>
            <c:spPr>
              <a:solidFill>
                <a:srgbClr val="C1D119"/>
              </a:solidFill>
              <a:ln>
                <a:solidFill>
                  <a:srgbClr val="FFFFFF"/>
                </a:solidFill>
              </a:ln>
            </c:spPr>
            <c:extLst>
              <c:ext xmlns:c16="http://schemas.microsoft.com/office/drawing/2014/chart" uri="{C3380CC4-5D6E-409C-BE32-E72D297353CC}">
                <c16:uniqueId val="{00000007-D1DD-4A20-BD6E-44A1C8D14AD4}"/>
              </c:ext>
            </c:extLst>
          </c:dPt>
          <c:dPt>
            <c:idx val="4"/>
            <c:bubble3D val="0"/>
            <c:spPr>
              <a:solidFill>
                <a:srgbClr val="E87308"/>
              </a:solidFill>
              <a:ln>
                <a:solidFill>
                  <a:srgbClr val="FFFFFF"/>
                </a:solidFill>
              </a:ln>
            </c:spPr>
            <c:extLst>
              <c:ext xmlns:c16="http://schemas.microsoft.com/office/drawing/2014/chart" uri="{C3380CC4-5D6E-409C-BE32-E72D297353CC}">
                <c16:uniqueId val="{00000009-D1DD-4A20-BD6E-44A1C8D14AD4}"/>
              </c:ext>
            </c:extLst>
          </c:dPt>
          <c:dPt>
            <c:idx val="5"/>
            <c:bubble3D val="0"/>
            <c:spPr>
              <a:solidFill>
                <a:srgbClr val="55585A"/>
              </a:solidFill>
              <a:ln>
                <a:solidFill>
                  <a:srgbClr val="FFFFFF"/>
                </a:solidFill>
              </a:ln>
            </c:spPr>
            <c:extLst>
              <c:ext xmlns:c16="http://schemas.microsoft.com/office/drawing/2014/chart" uri="{C3380CC4-5D6E-409C-BE32-E72D297353CC}">
                <c16:uniqueId val="{0000000B-D1DD-4A20-BD6E-44A1C8D14AD4}"/>
              </c:ext>
            </c:extLst>
          </c:dPt>
          <c:cat>
            <c:strRef>
              <c:f>'Low activity under 10m'!$B$78:$B$83</c:f>
              <c:strCache>
                <c:ptCount val="6"/>
                <c:pt idx="0">
                  <c:v>Mackerel - 33.8%</c:v>
                </c:pt>
                <c:pt idx="1">
                  <c:v>Brown Crab - 8.2%</c:v>
                </c:pt>
                <c:pt idx="2">
                  <c:v>Lobsters - 7.8%</c:v>
                </c:pt>
                <c:pt idx="3">
                  <c:v>Velvet Crab - 7.3%</c:v>
                </c:pt>
                <c:pt idx="4">
                  <c:v>Bass - 6.5%</c:v>
                </c:pt>
                <c:pt idx="5">
                  <c:v>Others - 36.4%</c:v>
                </c:pt>
              </c:strCache>
            </c:strRef>
          </c:cat>
          <c:val>
            <c:numRef>
              <c:f>'Low activity under 10m'!$C$78:$C$83</c:f>
              <c:numCache>
                <c:formatCode>0.0%</c:formatCode>
                <c:ptCount val="6"/>
                <c:pt idx="0">
                  <c:v>0.33837897474653328</c:v>
                </c:pt>
                <c:pt idx="1">
                  <c:v>8.2266743917985732E-2</c:v>
                </c:pt>
                <c:pt idx="2">
                  <c:v>7.7783607271232347E-2</c:v>
                </c:pt>
                <c:pt idx="3">
                  <c:v>7.293234005286249E-2</c:v>
                </c:pt>
                <c:pt idx="4">
                  <c:v>6.4877855233186663E-2</c:v>
                </c:pt>
                <c:pt idx="5">
                  <c:v>0.3637604787781995</c:v>
                </c:pt>
              </c:numCache>
            </c:numRef>
          </c:val>
          <c:extLst>
            <c:ext xmlns:c16="http://schemas.microsoft.com/office/drawing/2014/chart" uri="{C3380CC4-5D6E-409C-BE32-E72D297353CC}">
              <c16:uniqueId val="{0000000C-D1DD-4A20-BD6E-44A1C8D14AD4}"/>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10m'!$F$77</c:f>
          <c:strCache>
            <c:ptCount val="1"/>
            <c:pt idx="0">
              <c:v>Top 5 landed species by value in 2021
Low activity under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923-4798-B9F2-F69522CE2213}"/>
              </c:ext>
            </c:extLst>
          </c:dPt>
          <c:dPt>
            <c:idx val="1"/>
            <c:bubble3D val="0"/>
            <c:spPr>
              <a:solidFill>
                <a:srgbClr val="E87308"/>
              </a:solidFill>
              <a:ln>
                <a:solidFill>
                  <a:srgbClr val="FFFFFF"/>
                </a:solidFill>
              </a:ln>
            </c:spPr>
            <c:extLst>
              <c:ext xmlns:c16="http://schemas.microsoft.com/office/drawing/2014/chart" uri="{C3380CC4-5D6E-409C-BE32-E72D297353CC}">
                <c16:uniqueId val="{00000003-0923-4798-B9F2-F69522CE2213}"/>
              </c:ext>
            </c:extLst>
          </c:dPt>
          <c:dPt>
            <c:idx val="2"/>
            <c:bubble3D val="0"/>
            <c:spPr>
              <a:solidFill>
                <a:srgbClr val="648C2E"/>
              </a:solidFill>
              <a:ln>
                <a:solidFill>
                  <a:srgbClr val="FFFFFF"/>
                </a:solidFill>
              </a:ln>
            </c:spPr>
            <c:extLst>
              <c:ext xmlns:c16="http://schemas.microsoft.com/office/drawing/2014/chart" uri="{C3380CC4-5D6E-409C-BE32-E72D297353CC}">
                <c16:uniqueId val="{00000005-0923-4798-B9F2-F69522CE2213}"/>
              </c:ext>
            </c:extLst>
          </c:dPt>
          <c:dPt>
            <c:idx val="3"/>
            <c:bubble3D val="0"/>
            <c:spPr>
              <a:solidFill>
                <a:srgbClr val="C1D119"/>
              </a:solidFill>
              <a:ln>
                <a:solidFill>
                  <a:srgbClr val="FFFFFF"/>
                </a:solidFill>
              </a:ln>
            </c:spPr>
            <c:extLst>
              <c:ext xmlns:c16="http://schemas.microsoft.com/office/drawing/2014/chart" uri="{C3380CC4-5D6E-409C-BE32-E72D297353CC}">
                <c16:uniqueId val="{00000007-0923-4798-B9F2-F69522CE2213}"/>
              </c:ext>
            </c:extLst>
          </c:dPt>
          <c:dPt>
            <c:idx val="4"/>
            <c:bubble3D val="0"/>
            <c:spPr>
              <a:solidFill>
                <a:srgbClr val="E84A38"/>
              </a:solidFill>
              <a:ln>
                <a:solidFill>
                  <a:srgbClr val="FFFFFF"/>
                </a:solidFill>
              </a:ln>
            </c:spPr>
            <c:extLst>
              <c:ext xmlns:c16="http://schemas.microsoft.com/office/drawing/2014/chart" uri="{C3380CC4-5D6E-409C-BE32-E72D297353CC}">
                <c16:uniqueId val="{00000009-0923-4798-B9F2-F69522CE2213}"/>
              </c:ext>
            </c:extLst>
          </c:dPt>
          <c:dPt>
            <c:idx val="5"/>
            <c:bubble3D val="0"/>
            <c:spPr>
              <a:solidFill>
                <a:srgbClr val="55585A"/>
              </a:solidFill>
              <a:ln>
                <a:solidFill>
                  <a:srgbClr val="FFFFFF"/>
                </a:solidFill>
              </a:ln>
            </c:spPr>
            <c:extLst>
              <c:ext xmlns:c16="http://schemas.microsoft.com/office/drawing/2014/chart" uri="{C3380CC4-5D6E-409C-BE32-E72D297353CC}">
                <c16:uniqueId val="{0000000B-0923-4798-B9F2-F69522CE2213}"/>
              </c:ext>
            </c:extLst>
          </c:dPt>
          <c:cat>
            <c:strRef>
              <c:f>'Low activity under 10m'!$G$78:$G$83</c:f>
              <c:strCache>
                <c:ptCount val="6"/>
                <c:pt idx="0">
                  <c:v>Lobsters - 34.1%</c:v>
                </c:pt>
                <c:pt idx="1">
                  <c:v>Bass - 17.1%</c:v>
                </c:pt>
                <c:pt idx="2">
                  <c:v>Mackerel - 12.3%</c:v>
                </c:pt>
                <c:pt idx="3">
                  <c:v>Velvet Crab - 5.5%</c:v>
                </c:pt>
                <c:pt idx="4">
                  <c:v>Brown Crab - 5.4%</c:v>
                </c:pt>
                <c:pt idx="5">
                  <c:v>Others - 25.5%</c:v>
                </c:pt>
              </c:strCache>
            </c:strRef>
          </c:cat>
          <c:val>
            <c:numRef>
              <c:f>'Low activity under 10m'!$H$78:$H$83</c:f>
              <c:numCache>
                <c:formatCode>0.0%</c:formatCode>
                <c:ptCount val="6"/>
                <c:pt idx="0">
                  <c:v>0.34063506896164752</c:v>
                </c:pt>
                <c:pt idx="1">
                  <c:v>0.1709893310162173</c:v>
                </c:pt>
                <c:pt idx="2">
                  <c:v>0.12338264143601563</c:v>
                </c:pt>
                <c:pt idx="3">
                  <c:v>5.5175385100829893E-2</c:v>
                </c:pt>
                <c:pt idx="4">
                  <c:v>5.4405497743872461E-2</c:v>
                </c:pt>
                <c:pt idx="5">
                  <c:v>0.25541207574141722</c:v>
                </c:pt>
              </c:numCache>
            </c:numRef>
          </c:val>
          <c:extLst>
            <c:ext xmlns:c16="http://schemas.microsoft.com/office/drawing/2014/chart" uri="{C3380CC4-5D6E-409C-BE32-E72D297353CC}">
              <c16:uniqueId val="{0000000C-0923-4798-B9F2-F69522CE221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under 10m'!$C$93</c:f>
              <c:strCache>
                <c:ptCount val="1"/>
                <c:pt idx="0">
                  <c:v>Lobsters</c:v>
                </c:pt>
              </c:strCache>
            </c:strRef>
          </c:tx>
          <c:spPr>
            <a:solidFill>
              <a:srgbClr val="2273B9"/>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10m'!$D$93:$M$93</c:f>
              <c:numCache>
                <c:formatCode>0%</c:formatCode>
                <c:ptCount val="10"/>
                <c:pt idx="0">
                  <c:v>0.29343326881468784</c:v>
                </c:pt>
                <c:pt idx="1">
                  <c:v>0.32215767914698457</c:v>
                </c:pt>
                <c:pt idx="2">
                  <c:v>0.31564677347995279</c:v>
                </c:pt>
                <c:pt idx="3">
                  <c:v>0.32259072794702032</c:v>
                </c:pt>
                <c:pt idx="4">
                  <c:v>0.32019426765375614</c:v>
                </c:pt>
                <c:pt idx="5">
                  <c:v>0.30351205995581892</c:v>
                </c:pt>
                <c:pt idx="6">
                  <c:v>0.32845998120617587</c:v>
                </c:pt>
                <c:pt idx="7">
                  <c:v>0.3400883445727394</c:v>
                </c:pt>
                <c:pt idx="8">
                  <c:v>0.34063506896164752</c:v>
                </c:pt>
                <c:pt idx="9">
                  <c:v>0.34461944004366751</c:v>
                </c:pt>
              </c:numCache>
            </c:numRef>
          </c:val>
          <c:extLst>
            <c:ext xmlns:c16="http://schemas.microsoft.com/office/drawing/2014/chart" uri="{C3380CC4-5D6E-409C-BE32-E72D297353CC}">
              <c16:uniqueId val="{00000000-90B3-4347-B5CC-2B65BD77B8B4}"/>
            </c:ext>
          </c:extLst>
        </c:ser>
        <c:ser>
          <c:idx val="1"/>
          <c:order val="1"/>
          <c:tx>
            <c:strRef>
              <c:f>'Low activity under 10m'!$C$94</c:f>
              <c:strCache>
                <c:ptCount val="1"/>
                <c:pt idx="0">
                  <c:v>Bass</c:v>
                </c:pt>
              </c:strCache>
            </c:strRef>
          </c:tx>
          <c:spPr>
            <a:solidFill>
              <a:srgbClr val="E87308"/>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10m'!$D$94:$M$94</c:f>
              <c:numCache>
                <c:formatCode>0%</c:formatCode>
                <c:ptCount val="10"/>
                <c:pt idx="0">
                  <c:v>0.1330212865917296</c:v>
                </c:pt>
                <c:pt idx="1">
                  <c:v>0.14574882516785168</c:v>
                </c:pt>
                <c:pt idx="2">
                  <c:v>0.11659362208693586</c:v>
                </c:pt>
                <c:pt idx="3">
                  <c:v>0.1206415554374779</c:v>
                </c:pt>
                <c:pt idx="4">
                  <c:v>0.1304846220663142</c:v>
                </c:pt>
                <c:pt idx="5">
                  <c:v>0.13512982286896116</c:v>
                </c:pt>
                <c:pt idx="6">
                  <c:v>0.13053038659967903</c:v>
                </c:pt>
                <c:pt idx="7">
                  <c:v>0.1686600637568974</c:v>
                </c:pt>
                <c:pt idx="8">
                  <c:v>0.1709893310162173</c:v>
                </c:pt>
                <c:pt idx="9">
                  <c:v>0.18443030556184237</c:v>
                </c:pt>
              </c:numCache>
            </c:numRef>
          </c:val>
          <c:extLst>
            <c:ext xmlns:c16="http://schemas.microsoft.com/office/drawing/2014/chart" uri="{C3380CC4-5D6E-409C-BE32-E72D297353CC}">
              <c16:uniqueId val="{00000001-90B3-4347-B5CC-2B65BD77B8B4}"/>
            </c:ext>
          </c:extLst>
        </c:ser>
        <c:ser>
          <c:idx val="2"/>
          <c:order val="2"/>
          <c:tx>
            <c:strRef>
              <c:f>'Low activity under 10m'!$C$95</c:f>
              <c:strCache>
                <c:ptCount val="1"/>
                <c:pt idx="0">
                  <c:v>Mackerel</c:v>
                </c:pt>
              </c:strCache>
            </c:strRef>
          </c:tx>
          <c:spPr>
            <a:solidFill>
              <a:srgbClr val="648C2E"/>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10m'!$D$95:$M$95</c:f>
              <c:numCache>
                <c:formatCode>0%</c:formatCode>
                <c:ptCount val="10"/>
                <c:pt idx="0">
                  <c:v>9.0618405339778996E-2</c:v>
                </c:pt>
                <c:pt idx="1">
                  <c:v>8.0525130189593175E-2</c:v>
                </c:pt>
                <c:pt idx="2">
                  <c:v>0.11712173932620713</c:v>
                </c:pt>
                <c:pt idx="3">
                  <c:v>9.8977030124931517E-2</c:v>
                </c:pt>
                <c:pt idx="4">
                  <c:v>9.4895730351347157E-2</c:v>
                </c:pt>
                <c:pt idx="5">
                  <c:v>0.12223883926264134</c:v>
                </c:pt>
                <c:pt idx="6">
                  <c:v>0.11951612832030556</c:v>
                </c:pt>
                <c:pt idx="7">
                  <c:v>0.10338205266007307</c:v>
                </c:pt>
                <c:pt idx="8">
                  <c:v>0.12338264143601563</c:v>
                </c:pt>
                <c:pt idx="9">
                  <c:v>0.1128745259919499</c:v>
                </c:pt>
              </c:numCache>
            </c:numRef>
          </c:val>
          <c:extLst>
            <c:ext xmlns:c16="http://schemas.microsoft.com/office/drawing/2014/chart" uri="{C3380CC4-5D6E-409C-BE32-E72D297353CC}">
              <c16:uniqueId val="{00000002-90B3-4347-B5CC-2B65BD77B8B4}"/>
            </c:ext>
          </c:extLst>
        </c:ser>
        <c:ser>
          <c:idx val="3"/>
          <c:order val="3"/>
          <c:tx>
            <c:strRef>
              <c:f>'Low activity under 10m'!$C$96</c:f>
              <c:strCache>
                <c:ptCount val="1"/>
                <c:pt idx="0">
                  <c:v>Velvet Crab</c:v>
                </c:pt>
              </c:strCache>
            </c:strRef>
          </c:tx>
          <c:spPr>
            <a:solidFill>
              <a:srgbClr val="C1D119"/>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10m'!$D$96:$M$96</c:f>
              <c:numCache>
                <c:formatCode>0%</c:formatCode>
                <c:ptCount val="10"/>
                <c:pt idx="0">
                  <c:v>6.7196007709255934E-2</c:v>
                </c:pt>
                <c:pt idx="1">
                  <c:v>6.1977925029117517E-2</c:v>
                </c:pt>
                <c:pt idx="3">
                  <c:v>6.4081642829948007E-2</c:v>
                </c:pt>
                <c:pt idx="5">
                  <c:v>5.5254502516497869E-2</c:v>
                </c:pt>
                <c:pt idx="6">
                  <c:v>6.0974734070673733E-2</c:v>
                </c:pt>
                <c:pt idx="7">
                  <c:v>6.410354323666187E-2</c:v>
                </c:pt>
                <c:pt idx="8">
                  <c:v>5.5175385100829893E-2</c:v>
                </c:pt>
                <c:pt idx="9">
                  <c:v>5.5999478147369074E-2</c:v>
                </c:pt>
              </c:numCache>
            </c:numRef>
          </c:val>
          <c:extLst>
            <c:ext xmlns:c16="http://schemas.microsoft.com/office/drawing/2014/chart" uri="{C3380CC4-5D6E-409C-BE32-E72D297353CC}">
              <c16:uniqueId val="{00000003-90B3-4347-B5CC-2B65BD77B8B4}"/>
            </c:ext>
          </c:extLst>
        </c:ser>
        <c:ser>
          <c:idx val="4"/>
          <c:order val="4"/>
          <c:tx>
            <c:strRef>
              <c:f>'Low activity under 10m'!$C$97</c:f>
              <c:strCache>
                <c:ptCount val="1"/>
                <c:pt idx="0">
                  <c:v>Brown Crab</c:v>
                </c:pt>
              </c:strCache>
            </c:strRef>
          </c:tx>
          <c:spPr>
            <a:solidFill>
              <a:srgbClr val="E84A38"/>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10m'!$D$97:$M$97</c:f>
              <c:numCache>
                <c:formatCode>0%</c:formatCode>
                <c:ptCount val="10"/>
                <c:pt idx="0">
                  <c:v>8.3152634855401447E-2</c:v>
                </c:pt>
                <c:pt idx="1">
                  <c:v>6.9446667693875613E-2</c:v>
                </c:pt>
                <c:pt idx="2">
                  <c:v>6.8175251827823274E-2</c:v>
                </c:pt>
                <c:pt idx="4">
                  <c:v>6.3295586812510671E-2</c:v>
                </c:pt>
                <c:pt idx="5">
                  <c:v>6.6829999046513988E-2</c:v>
                </c:pt>
                <c:pt idx="6">
                  <c:v>6.5367596698166955E-2</c:v>
                </c:pt>
                <c:pt idx="7">
                  <c:v>5.6921859243230594E-2</c:v>
                </c:pt>
                <c:pt idx="8">
                  <c:v>5.4405497743872461E-2</c:v>
                </c:pt>
                <c:pt idx="9">
                  <c:v>4.566023302668424E-2</c:v>
                </c:pt>
              </c:numCache>
            </c:numRef>
          </c:val>
          <c:extLst>
            <c:ext xmlns:c16="http://schemas.microsoft.com/office/drawing/2014/chart" uri="{C3380CC4-5D6E-409C-BE32-E72D297353CC}">
              <c16:uniqueId val="{00000004-90B3-4347-B5CC-2B65BD77B8B4}"/>
            </c:ext>
          </c:extLst>
        </c:ser>
        <c:ser>
          <c:idx val="5"/>
          <c:order val="5"/>
          <c:tx>
            <c:strRef>
              <c:f>'Low activity under 10m'!$C$98</c:f>
              <c:strCache>
                <c:ptCount val="1"/>
                <c:pt idx="0">
                  <c:v>Sole</c:v>
                </c:pt>
              </c:strCache>
            </c:strRef>
          </c:tx>
          <c:spPr>
            <a:solidFill>
              <a:srgbClr val="0F9AA9"/>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10m'!$D$98:$M$98</c:f>
              <c:numCache>
                <c:formatCode>0%</c:formatCode>
                <c:ptCount val="10"/>
                <c:pt idx="2">
                  <c:v>5.9652013408147721E-2</c:v>
                </c:pt>
                <c:pt idx="3">
                  <c:v>6.0859620538491574E-2</c:v>
                </c:pt>
                <c:pt idx="4">
                  <c:v>5.6350083099255349E-2</c:v>
                </c:pt>
              </c:numCache>
            </c:numRef>
          </c:val>
          <c:extLst>
            <c:ext xmlns:c16="http://schemas.microsoft.com/office/drawing/2014/chart" uri="{C3380CC4-5D6E-409C-BE32-E72D297353CC}">
              <c16:uniqueId val="{00000005-90B3-4347-B5CC-2B65BD77B8B4}"/>
            </c:ext>
          </c:extLst>
        </c:ser>
        <c:ser>
          <c:idx val="6"/>
          <c:order val="6"/>
          <c:tx>
            <c:strRef>
              <c:f>'Low activity under 10m'!$C$99</c:f>
              <c:strCache>
                <c:ptCount val="1"/>
                <c:pt idx="0">
                  <c:v>Others</c:v>
                </c:pt>
              </c:strCache>
            </c:strRef>
          </c:tx>
          <c:spPr>
            <a:solidFill>
              <a:srgbClr val="55585A"/>
            </a:solidFill>
            <a:ln>
              <a:solidFill>
                <a:srgbClr val="FFFFFF"/>
              </a:solidFill>
            </a:ln>
          </c:spPr>
          <c:invertIfNegative val="0"/>
          <c:cat>
            <c:numRef>
              <c:f>'Low activity under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under 10m'!$D$99:$M$99</c:f>
              <c:numCache>
                <c:formatCode>0%</c:formatCode>
                <c:ptCount val="10"/>
                <c:pt idx="0">
                  <c:v>0.33257839668914613</c:v>
                </c:pt>
                <c:pt idx="1">
                  <c:v>0.32014377277257744</c:v>
                </c:pt>
                <c:pt idx="2">
                  <c:v>0.32281059987093325</c:v>
                </c:pt>
                <c:pt idx="3">
                  <c:v>0.33284942312213073</c:v>
                </c:pt>
                <c:pt idx="4">
                  <c:v>0.3347797100168165</c:v>
                </c:pt>
                <c:pt idx="5">
                  <c:v>0.31703477634956673</c:v>
                </c:pt>
                <c:pt idx="6">
                  <c:v>0.29515117310499883</c:v>
                </c:pt>
                <c:pt idx="7">
                  <c:v>0.26684413653039768</c:v>
                </c:pt>
                <c:pt idx="8">
                  <c:v>0.25541207574141717</c:v>
                </c:pt>
                <c:pt idx="9">
                  <c:v>0.25641601722848684</c:v>
                </c:pt>
              </c:numCache>
            </c:numRef>
          </c:val>
          <c:extLst>
            <c:ext xmlns:c16="http://schemas.microsoft.com/office/drawing/2014/chart" uri="{C3380CC4-5D6E-409C-BE32-E72D297353CC}">
              <c16:uniqueId val="{00000006-90B3-4347-B5CC-2B65BD77B8B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under 10m'!$B$163</c:f>
              <c:strCache>
                <c:ptCount val="1"/>
                <c:pt idx="0">
                  <c:v>Mackerel</c:v>
                </c:pt>
              </c:strCache>
            </c:strRef>
          </c:tx>
          <c:spPr>
            <a:solidFill>
              <a:srgbClr val="648C2E"/>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10m'!$C$163:$E$163</c:f>
              <c:numCache>
                <c:formatCode>0%</c:formatCode>
                <c:ptCount val="3"/>
                <c:pt idx="0">
                  <c:v>0.37711409407452179</c:v>
                </c:pt>
                <c:pt idx="1">
                  <c:v>0.43706463800638945</c:v>
                </c:pt>
                <c:pt idx="2">
                  <c:v>0.18691683858551986</c:v>
                </c:pt>
              </c:numCache>
            </c:numRef>
          </c:val>
          <c:extLst>
            <c:ext xmlns:c16="http://schemas.microsoft.com/office/drawing/2014/chart" uri="{C3380CC4-5D6E-409C-BE32-E72D297353CC}">
              <c16:uniqueId val="{00000000-3203-4200-A1F7-152169D9293F}"/>
            </c:ext>
          </c:extLst>
        </c:ser>
        <c:ser>
          <c:idx val="1"/>
          <c:order val="1"/>
          <c:tx>
            <c:strRef>
              <c:f>'Low activity under 10m'!$B$164</c:f>
              <c:strCache>
                <c:ptCount val="1"/>
                <c:pt idx="0">
                  <c:v>Brown Crab</c:v>
                </c:pt>
              </c:strCache>
            </c:strRef>
          </c:tx>
          <c:spPr>
            <a:solidFill>
              <a:srgbClr val="E84A38"/>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10m'!$C$164:$E$164</c:f>
              <c:numCache>
                <c:formatCode>0%</c:formatCode>
                <c:ptCount val="3"/>
                <c:pt idx="0">
                  <c:v>6.1993020468684407E-2</c:v>
                </c:pt>
                <c:pt idx="1">
                  <c:v>0.11132731027524775</c:v>
                </c:pt>
                <c:pt idx="2">
                  <c:v>9.5013362973783863E-2</c:v>
                </c:pt>
              </c:numCache>
            </c:numRef>
          </c:val>
          <c:extLst>
            <c:ext xmlns:c16="http://schemas.microsoft.com/office/drawing/2014/chart" uri="{C3380CC4-5D6E-409C-BE32-E72D297353CC}">
              <c16:uniqueId val="{00000001-3203-4200-A1F7-152169D9293F}"/>
            </c:ext>
          </c:extLst>
        </c:ser>
        <c:ser>
          <c:idx val="2"/>
          <c:order val="2"/>
          <c:tx>
            <c:strRef>
              <c:f>'Low activity under 10m'!$B$165</c:f>
              <c:strCache>
                <c:ptCount val="1"/>
                <c:pt idx="0">
                  <c:v>Velvet Crab</c:v>
                </c:pt>
              </c:strCache>
            </c:strRef>
          </c:tx>
          <c:spPr>
            <a:solidFill>
              <a:srgbClr val="C1D119"/>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10m'!$C$165:$E$165</c:f>
              <c:numCache>
                <c:formatCode>0%</c:formatCode>
                <c:ptCount val="3"/>
                <c:pt idx="0">
                  <c:v>0</c:v>
                </c:pt>
                <c:pt idx="1">
                  <c:v>0.10880032359754872</c:v>
                </c:pt>
                <c:pt idx="2">
                  <c:v>7.44585518513175E-2</c:v>
                </c:pt>
              </c:numCache>
            </c:numRef>
          </c:val>
          <c:extLst>
            <c:ext xmlns:c16="http://schemas.microsoft.com/office/drawing/2014/chart" uri="{C3380CC4-5D6E-409C-BE32-E72D297353CC}">
              <c16:uniqueId val="{00000002-3203-4200-A1F7-152169D9293F}"/>
            </c:ext>
          </c:extLst>
        </c:ser>
        <c:ser>
          <c:idx val="3"/>
          <c:order val="3"/>
          <c:tx>
            <c:strRef>
              <c:f>'Low activity under 10m'!$B$166</c:f>
              <c:strCache>
                <c:ptCount val="1"/>
                <c:pt idx="0">
                  <c:v>Lobsters</c:v>
                </c:pt>
              </c:strCache>
            </c:strRef>
          </c:tx>
          <c:spPr>
            <a:solidFill>
              <a:srgbClr val="2273B9"/>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10m'!$C$166:$E$166</c:f>
              <c:numCache>
                <c:formatCode>0%</c:formatCode>
                <c:ptCount val="3"/>
                <c:pt idx="0">
                  <c:v>7.9734552420664434E-2</c:v>
                </c:pt>
                <c:pt idx="1">
                  <c:v>9.6336726384133042E-2</c:v>
                </c:pt>
                <c:pt idx="2">
                  <c:v>6.8415572082230494E-2</c:v>
                </c:pt>
              </c:numCache>
            </c:numRef>
          </c:val>
          <c:extLst>
            <c:ext xmlns:c16="http://schemas.microsoft.com/office/drawing/2014/chart" uri="{C3380CC4-5D6E-409C-BE32-E72D297353CC}">
              <c16:uniqueId val="{00000003-3203-4200-A1F7-152169D9293F}"/>
            </c:ext>
          </c:extLst>
        </c:ser>
        <c:ser>
          <c:idx val="4"/>
          <c:order val="4"/>
          <c:tx>
            <c:strRef>
              <c:f>'Low activity under 10m'!$B$167</c:f>
              <c:strCache>
                <c:ptCount val="1"/>
                <c:pt idx="0">
                  <c:v>Bass</c:v>
                </c:pt>
              </c:strCache>
            </c:strRef>
          </c:tx>
          <c:spPr>
            <a:solidFill>
              <a:srgbClr val="E87308"/>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10m'!$C$167:$E$167</c:f>
              <c:numCache>
                <c:formatCode>0%</c:formatCode>
                <c:ptCount val="3"/>
                <c:pt idx="0">
                  <c:v>7.8983127916307197E-2</c:v>
                </c:pt>
                <c:pt idx="1">
                  <c:v>7.5446934043570807E-2</c:v>
                </c:pt>
                <c:pt idx="2">
                  <c:v>0</c:v>
                </c:pt>
              </c:numCache>
            </c:numRef>
          </c:val>
          <c:extLst>
            <c:ext xmlns:c16="http://schemas.microsoft.com/office/drawing/2014/chart" uri="{C3380CC4-5D6E-409C-BE32-E72D297353CC}">
              <c16:uniqueId val="{00000004-3203-4200-A1F7-152169D9293F}"/>
            </c:ext>
          </c:extLst>
        </c:ser>
        <c:ser>
          <c:idx val="5"/>
          <c:order val="5"/>
          <c:tx>
            <c:strRef>
              <c:f>'Low activity under 10m'!$B$168</c:f>
              <c:strCache>
                <c:ptCount val="1"/>
                <c:pt idx="0">
                  <c:v>Thornback Ray</c:v>
                </c:pt>
              </c:strCache>
            </c:strRef>
          </c:tx>
          <c:spPr>
            <a:solidFill>
              <a:srgbClr val="FED825"/>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10m'!$C$168:$E$168</c:f>
              <c:numCache>
                <c:formatCode>0%</c:formatCode>
                <c:ptCount val="3"/>
                <c:pt idx="0">
                  <c:v>0</c:v>
                </c:pt>
                <c:pt idx="1">
                  <c:v>0</c:v>
                </c:pt>
                <c:pt idx="2">
                  <c:v>0.11164877572464509</c:v>
                </c:pt>
              </c:numCache>
            </c:numRef>
          </c:val>
          <c:extLst>
            <c:ext xmlns:c16="http://schemas.microsoft.com/office/drawing/2014/chart" uri="{C3380CC4-5D6E-409C-BE32-E72D297353CC}">
              <c16:uniqueId val="{00000005-3203-4200-A1F7-152169D9293F}"/>
            </c:ext>
          </c:extLst>
        </c:ser>
        <c:ser>
          <c:idx val="6"/>
          <c:order val="6"/>
          <c:tx>
            <c:strRef>
              <c:f>'Low activity under 10m'!$B$169</c:f>
              <c:strCache>
                <c:ptCount val="1"/>
                <c:pt idx="0">
                  <c:v>Herring</c:v>
                </c:pt>
              </c:strCache>
            </c:strRef>
          </c:tx>
          <c:spPr>
            <a:solidFill>
              <a:srgbClr val="51AA81"/>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10m'!$C$169:$E$169</c:f>
              <c:numCache>
                <c:formatCode>0%</c:formatCode>
                <c:ptCount val="3"/>
                <c:pt idx="0">
                  <c:v>0.11749015758693279</c:v>
                </c:pt>
                <c:pt idx="1">
                  <c:v>0</c:v>
                </c:pt>
                <c:pt idx="2">
                  <c:v>0</c:v>
                </c:pt>
              </c:numCache>
            </c:numRef>
          </c:val>
          <c:extLst>
            <c:ext xmlns:c16="http://schemas.microsoft.com/office/drawing/2014/chart" uri="{C3380CC4-5D6E-409C-BE32-E72D297353CC}">
              <c16:uniqueId val="{00000006-3203-4200-A1F7-152169D9293F}"/>
            </c:ext>
          </c:extLst>
        </c:ser>
        <c:ser>
          <c:idx val="7"/>
          <c:order val="7"/>
          <c:tx>
            <c:strRef>
              <c:f>'Low activity under 10m'!$B$170</c:f>
              <c:strCache>
                <c:ptCount val="1"/>
                <c:pt idx="0">
                  <c:v>Others</c:v>
                </c:pt>
              </c:strCache>
            </c:strRef>
          </c:tx>
          <c:spPr>
            <a:solidFill>
              <a:srgbClr val="55585A"/>
            </a:solidFill>
            <a:ln>
              <a:solidFill>
                <a:srgbClr val="FFFFFF"/>
              </a:solidFill>
            </a:ln>
          </c:spPr>
          <c:invertIfNegative val="0"/>
          <c:cat>
            <c:strRef>
              <c:f>'Low activity under 10m'!$C$162:$E$162</c:f>
              <c:strCache>
                <c:ptCount val="3"/>
                <c:pt idx="0">
                  <c:v>Most
profitable
quartile</c:v>
                </c:pt>
                <c:pt idx="1">
                  <c:v>Middle 
two quartiles</c:v>
                </c:pt>
                <c:pt idx="2">
                  <c:v>Least
profitable
quartile</c:v>
                </c:pt>
              </c:strCache>
            </c:strRef>
          </c:cat>
          <c:val>
            <c:numRef>
              <c:f>'Low activity under 10m'!$C$170:$E$170</c:f>
              <c:numCache>
                <c:formatCode>0%</c:formatCode>
                <c:ptCount val="3"/>
                <c:pt idx="0">
                  <c:v>0.28468504753288937</c:v>
                </c:pt>
                <c:pt idx="1">
                  <c:v>0.17102406769311018</c:v>
                </c:pt>
                <c:pt idx="2">
                  <c:v>0.46354689878250321</c:v>
                </c:pt>
              </c:numCache>
            </c:numRef>
          </c:val>
          <c:extLst>
            <c:ext xmlns:c16="http://schemas.microsoft.com/office/drawing/2014/chart" uri="{C3380CC4-5D6E-409C-BE32-E72D297353CC}">
              <c16:uniqueId val="{00000007-3203-4200-A1F7-152169D9293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under 10m'!$H$163</c:f>
              <c:strCache>
                <c:ptCount val="1"/>
                <c:pt idx="0">
                  <c:v>Lobsters</c:v>
                </c:pt>
              </c:strCache>
            </c:strRef>
          </c:tx>
          <c:spPr>
            <a:solidFill>
              <a:srgbClr val="2273B9"/>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10m'!$I$163:$K$163</c:f>
              <c:numCache>
                <c:formatCode>0%</c:formatCode>
                <c:ptCount val="3"/>
                <c:pt idx="0">
                  <c:v>0.3722848076800413</c:v>
                </c:pt>
                <c:pt idx="1">
                  <c:v>0.37449816946840248</c:v>
                </c:pt>
                <c:pt idx="2">
                  <c:v>0.27917825870501067</c:v>
                </c:pt>
              </c:numCache>
            </c:numRef>
          </c:val>
          <c:extLst>
            <c:ext xmlns:c16="http://schemas.microsoft.com/office/drawing/2014/chart" uri="{C3380CC4-5D6E-409C-BE32-E72D297353CC}">
              <c16:uniqueId val="{00000000-E794-411B-BD37-110478BB5B38}"/>
            </c:ext>
          </c:extLst>
        </c:ser>
        <c:ser>
          <c:idx val="1"/>
          <c:order val="1"/>
          <c:tx>
            <c:strRef>
              <c:f>'Low activity under 10m'!$H$164</c:f>
              <c:strCache>
                <c:ptCount val="1"/>
                <c:pt idx="0">
                  <c:v>Bass</c:v>
                </c:pt>
              </c:strCache>
            </c:strRef>
          </c:tx>
          <c:spPr>
            <a:solidFill>
              <a:srgbClr val="E87308"/>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10m'!$I$164:$K$164</c:f>
              <c:numCache>
                <c:formatCode>0%</c:formatCode>
                <c:ptCount val="3"/>
                <c:pt idx="0">
                  <c:v>0.20050196235445647</c:v>
                </c:pt>
                <c:pt idx="1">
                  <c:v>0.18119553955898368</c:v>
                </c:pt>
                <c:pt idx="2">
                  <c:v>0.13050711741768056</c:v>
                </c:pt>
              </c:numCache>
            </c:numRef>
          </c:val>
          <c:extLst>
            <c:ext xmlns:c16="http://schemas.microsoft.com/office/drawing/2014/chart" uri="{C3380CC4-5D6E-409C-BE32-E72D297353CC}">
              <c16:uniqueId val="{00000001-E794-411B-BD37-110478BB5B38}"/>
            </c:ext>
          </c:extLst>
        </c:ser>
        <c:ser>
          <c:idx val="2"/>
          <c:order val="2"/>
          <c:tx>
            <c:strRef>
              <c:f>'Low activity under 10m'!$H$165</c:f>
              <c:strCache>
                <c:ptCount val="1"/>
                <c:pt idx="0">
                  <c:v>Mackerel</c:v>
                </c:pt>
              </c:strCache>
            </c:strRef>
          </c:tx>
          <c:spPr>
            <a:solidFill>
              <a:srgbClr val="648C2E"/>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10m'!$I$165:$K$165</c:f>
              <c:numCache>
                <c:formatCode>0%</c:formatCode>
                <c:ptCount val="3"/>
                <c:pt idx="0">
                  <c:v>0.12301301524772852</c:v>
                </c:pt>
                <c:pt idx="1">
                  <c:v>0.14666665396156836</c:v>
                </c:pt>
                <c:pt idx="2">
                  <c:v>9.2665263983095714E-2</c:v>
                </c:pt>
              </c:numCache>
            </c:numRef>
          </c:val>
          <c:extLst>
            <c:ext xmlns:c16="http://schemas.microsoft.com/office/drawing/2014/chart" uri="{C3380CC4-5D6E-409C-BE32-E72D297353CC}">
              <c16:uniqueId val="{00000002-E794-411B-BD37-110478BB5B38}"/>
            </c:ext>
          </c:extLst>
        </c:ser>
        <c:ser>
          <c:idx val="3"/>
          <c:order val="3"/>
          <c:tx>
            <c:strRef>
              <c:f>'Low activity under 10m'!$H$166</c:f>
              <c:strCache>
                <c:ptCount val="1"/>
                <c:pt idx="0">
                  <c:v>Velvet Crab</c:v>
                </c:pt>
              </c:strCache>
            </c:strRef>
          </c:tx>
          <c:spPr>
            <a:solidFill>
              <a:srgbClr val="C1D119"/>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10m'!$I$166:$K$166</c:f>
              <c:numCache>
                <c:formatCode>0%</c:formatCode>
                <c:ptCount val="3"/>
                <c:pt idx="0">
                  <c:v>0</c:v>
                </c:pt>
                <c:pt idx="1">
                  <c:v>7.2865014429415509E-2</c:v>
                </c:pt>
                <c:pt idx="2">
                  <c:v>0</c:v>
                </c:pt>
              </c:numCache>
            </c:numRef>
          </c:val>
          <c:extLst>
            <c:ext xmlns:c16="http://schemas.microsoft.com/office/drawing/2014/chart" uri="{C3380CC4-5D6E-409C-BE32-E72D297353CC}">
              <c16:uniqueId val="{00000003-E794-411B-BD37-110478BB5B38}"/>
            </c:ext>
          </c:extLst>
        </c:ser>
        <c:ser>
          <c:idx val="4"/>
          <c:order val="4"/>
          <c:tx>
            <c:strRef>
              <c:f>'Low activity under 10m'!$H$167</c:f>
              <c:strCache>
                <c:ptCount val="1"/>
                <c:pt idx="0">
                  <c:v>Sole</c:v>
                </c:pt>
              </c:strCache>
            </c:strRef>
          </c:tx>
          <c:spPr>
            <a:solidFill>
              <a:srgbClr val="0F9AA9"/>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10m'!$I$167:$K$167</c:f>
              <c:numCache>
                <c:formatCode>0%</c:formatCode>
                <c:ptCount val="3"/>
                <c:pt idx="0">
                  <c:v>0</c:v>
                </c:pt>
                <c:pt idx="1">
                  <c:v>6.6857973684391475E-2</c:v>
                </c:pt>
                <c:pt idx="2">
                  <c:v>8.8459646190339955E-2</c:v>
                </c:pt>
              </c:numCache>
            </c:numRef>
          </c:val>
          <c:extLst>
            <c:ext xmlns:c16="http://schemas.microsoft.com/office/drawing/2014/chart" uri="{C3380CC4-5D6E-409C-BE32-E72D297353CC}">
              <c16:uniqueId val="{00000004-E794-411B-BD37-110478BB5B38}"/>
            </c:ext>
          </c:extLst>
        </c:ser>
        <c:ser>
          <c:idx val="5"/>
          <c:order val="5"/>
          <c:tx>
            <c:strRef>
              <c:f>'Low activity under 10m'!$H$168</c:f>
              <c:strCache>
                <c:ptCount val="1"/>
                <c:pt idx="0">
                  <c:v>Nephrops</c:v>
                </c:pt>
              </c:strCache>
            </c:strRef>
          </c:tx>
          <c:spPr>
            <a:solidFill>
              <a:srgbClr val="707271"/>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10m'!$I$168:$K$168</c:f>
              <c:numCache>
                <c:formatCode>0%</c:formatCode>
                <c:ptCount val="3"/>
                <c:pt idx="0">
                  <c:v>0</c:v>
                </c:pt>
                <c:pt idx="1">
                  <c:v>0</c:v>
                </c:pt>
                <c:pt idx="2">
                  <c:v>6.8736323272007224E-2</c:v>
                </c:pt>
              </c:numCache>
            </c:numRef>
          </c:val>
          <c:extLst>
            <c:ext xmlns:c16="http://schemas.microsoft.com/office/drawing/2014/chart" uri="{C3380CC4-5D6E-409C-BE32-E72D297353CC}">
              <c16:uniqueId val="{00000005-E794-411B-BD37-110478BB5B38}"/>
            </c:ext>
          </c:extLst>
        </c:ser>
        <c:ser>
          <c:idx val="6"/>
          <c:order val="6"/>
          <c:tx>
            <c:strRef>
              <c:f>'Low activity under 10m'!$H$169</c:f>
              <c:strCache>
                <c:ptCount val="1"/>
                <c:pt idx="0">
                  <c:v>Brown Crab</c:v>
                </c:pt>
              </c:strCache>
            </c:strRef>
          </c:tx>
          <c:spPr>
            <a:solidFill>
              <a:srgbClr val="E84A38"/>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10m'!$I$169:$K$169</c:f>
              <c:numCache>
                <c:formatCode>0%</c:formatCode>
                <c:ptCount val="3"/>
                <c:pt idx="0">
                  <c:v>4.890245807278118E-2</c:v>
                </c:pt>
                <c:pt idx="1">
                  <c:v>0</c:v>
                </c:pt>
                <c:pt idx="2">
                  <c:v>0</c:v>
                </c:pt>
              </c:numCache>
            </c:numRef>
          </c:val>
          <c:extLst>
            <c:ext xmlns:c16="http://schemas.microsoft.com/office/drawing/2014/chart" uri="{C3380CC4-5D6E-409C-BE32-E72D297353CC}">
              <c16:uniqueId val="{00000006-E794-411B-BD37-110478BB5B38}"/>
            </c:ext>
          </c:extLst>
        </c:ser>
        <c:ser>
          <c:idx val="7"/>
          <c:order val="7"/>
          <c:tx>
            <c:strRef>
              <c:f>'Low activity under 10m'!$H$170</c:f>
              <c:strCache>
                <c:ptCount val="1"/>
                <c:pt idx="0">
                  <c:v>Cod</c:v>
                </c:pt>
              </c:strCache>
            </c:strRef>
          </c:tx>
          <c:spPr>
            <a:solidFill>
              <a:srgbClr val="169FDB"/>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10m'!$I$170:$K$170</c:f>
              <c:numCache>
                <c:formatCode>0%</c:formatCode>
                <c:ptCount val="3"/>
                <c:pt idx="0">
                  <c:v>4.3871628896370626E-2</c:v>
                </c:pt>
                <c:pt idx="1">
                  <c:v>0</c:v>
                </c:pt>
                <c:pt idx="2">
                  <c:v>0</c:v>
                </c:pt>
              </c:numCache>
            </c:numRef>
          </c:val>
          <c:extLst>
            <c:ext xmlns:c16="http://schemas.microsoft.com/office/drawing/2014/chart" uri="{C3380CC4-5D6E-409C-BE32-E72D297353CC}">
              <c16:uniqueId val="{00000007-E794-411B-BD37-110478BB5B38}"/>
            </c:ext>
          </c:extLst>
        </c:ser>
        <c:ser>
          <c:idx val="8"/>
          <c:order val="8"/>
          <c:tx>
            <c:strRef>
              <c:f>'Low activity under 10m'!$H$171</c:f>
              <c:strCache>
                <c:ptCount val="1"/>
                <c:pt idx="0">
                  <c:v>Others</c:v>
                </c:pt>
              </c:strCache>
            </c:strRef>
          </c:tx>
          <c:spPr>
            <a:solidFill>
              <a:srgbClr val="55585A"/>
            </a:solidFill>
            <a:ln>
              <a:solidFill>
                <a:srgbClr val="FFFFFF"/>
              </a:solidFill>
            </a:ln>
          </c:spPr>
          <c:invertIfNegative val="0"/>
          <c:cat>
            <c:strRef>
              <c:f>'Low activity under 10m'!$I$162:$K$162</c:f>
              <c:strCache>
                <c:ptCount val="3"/>
                <c:pt idx="0">
                  <c:v>Most
profitable
quartile</c:v>
                </c:pt>
                <c:pt idx="1">
                  <c:v>Middle 
two quartiles</c:v>
                </c:pt>
                <c:pt idx="2">
                  <c:v>Least
profitable
quartile</c:v>
                </c:pt>
              </c:strCache>
            </c:strRef>
          </c:cat>
          <c:val>
            <c:numRef>
              <c:f>'Low activity under 10m'!$I$171:$K$171</c:f>
              <c:numCache>
                <c:formatCode>0%</c:formatCode>
                <c:ptCount val="3"/>
                <c:pt idx="0">
                  <c:v>0.21142612774862191</c:v>
                </c:pt>
                <c:pt idx="1">
                  <c:v>0.15791664889723844</c:v>
                </c:pt>
                <c:pt idx="2">
                  <c:v>0.34045339043186595</c:v>
                </c:pt>
              </c:numCache>
            </c:numRef>
          </c:val>
          <c:extLst>
            <c:ext xmlns:c16="http://schemas.microsoft.com/office/drawing/2014/chart" uri="{C3380CC4-5D6E-409C-BE32-E72D297353CC}">
              <c16:uniqueId val="{00000008-E794-411B-BD37-110478BB5B3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under 10m'!$K$140</c:f>
              <c:strCache>
                <c:ptCount val="1"/>
                <c:pt idx="0">
                  <c:v>Total income</c:v>
                </c:pt>
              </c:strCache>
            </c:strRef>
          </c:tx>
          <c:spPr>
            <a:solidFill>
              <a:srgbClr val="087CBB"/>
            </a:solidFill>
            <a:ln>
              <a:solidFill>
                <a:schemeClr val="accent1"/>
              </a:solidFill>
            </a:ln>
          </c:spPr>
          <c:invertIfNegative val="0"/>
          <c:cat>
            <c:strRef>
              <c:f>'Low activity under 10m'!$L$139:$N$139</c:f>
              <c:strCache>
                <c:ptCount val="3"/>
                <c:pt idx="0">
                  <c:v>Most
profitable
quartile</c:v>
                </c:pt>
                <c:pt idx="1">
                  <c:v>Middle
two quartiles</c:v>
                </c:pt>
                <c:pt idx="2">
                  <c:v>Least
profitable
quartile</c:v>
                </c:pt>
              </c:strCache>
            </c:strRef>
          </c:cat>
          <c:val>
            <c:numRef>
              <c:f>'Low activity under 10m'!$L$140:$N$140</c:f>
              <c:numCache>
                <c:formatCode>#,##0</c:formatCode>
                <c:ptCount val="3"/>
                <c:pt idx="0">
                  <c:v>7.1245576171874996</c:v>
                </c:pt>
                <c:pt idx="1">
                  <c:v>5.2549143066406296</c:v>
                </c:pt>
                <c:pt idx="2">
                  <c:v>2.8706748046874999</c:v>
                </c:pt>
              </c:numCache>
            </c:numRef>
          </c:val>
          <c:extLst>
            <c:ext xmlns:c16="http://schemas.microsoft.com/office/drawing/2014/chart" uri="{C3380CC4-5D6E-409C-BE32-E72D297353CC}">
              <c16:uniqueId val="{00000000-EBA7-471A-AC63-7916B64E3DCE}"/>
            </c:ext>
          </c:extLst>
        </c:ser>
        <c:ser>
          <c:idx val="1"/>
          <c:order val="1"/>
          <c:tx>
            <c:strRef>
              <c:f>'Low activity under 10m'!$K$141</c:f>
              <c:strCache>
                <c:ptCount val="1"/>
                <c:pt idx="0">
                  <c:v>Operating costs</c:v>
                </c:pt>
              </c:strCache>
            </c:strRef>
          </c:tx>
          <c:spPr>
            <a:solidFill>
              <a:srgbClr val="E87308"/>
            </a:solidFill>
          </c:spPr>
          <c:invertIfNegative val="0"/>
          <c:cat>
            <c:strRef>
              <c:f>'Low activity under 10m'!$L$139:$N$139</c:f>
              <c:strCache>
                <c:ptCount val="3"/>
                <c:pt idx="0">
                  <c:v>Most
profitable
quartile</c:v>
                </c:pt>
                <c:pt idx="1">
                  <c:v>Middle
two quartiles</c:v>
                </c:pt>
                <c:pt idx="2">
                  <c:v>Least
profitable
quartile</c:v>
                </c:pt>
              </c:strCache>
            </c:strRef>
          </c:cat>
          <c:val>
            <c:numRef>
              <c:f>'Low activity under 10m'!$L$141:$N$141</c:f>
              <c:numCache>
                <c:formatCode>#,##0</c:formatCode>
                <c:ptCount val="3"/>
                <c:pt idx="0">
                  <c:v>7.6092773437499996</c:v>
                </c:pt>
                <c:pt idx="1">
                  <c:v>6.2411821289062503</c:v>
                </c:pt>
                <c:pt idx="2">
                  <c:v>3.9524648437500001</c:v>
                </c:pt>
              </c:numCache>
            </c:numRef>
          </c:val>
          <c:extLst>
            <c:ext xmlns:c16="http://schemas.microsoft.com/office/drawing/2014/chart" uri="{C3380CC4-5D6E-409C-BE32-E72D297353CC}">
              <c16:uniqueId val="{00000001-EBA7-471A-AC63-7916B64E3DCE}"/>
            </c:ext>
          </c:extLst>
        </c:ser>
        <c:ser>
          <c:idx val="2"/>
          <c:order val="2"/>
          <c:tx>
            <c:strRef>
              <c:f>'Low activity under 10m'!$K$142</c:f>
              <c:strCache>
                <c:ptCount val="1"/>
                <c:pt idx="0">
                  <c:v>Operating profit</c:v>
                </c:pt>
              </c:strCache>
            </c:strRef>
          </c:tx>
          <c:spPr>
            <a:solidFill>
              <a:srgbClr val="51AA81"/>
            </a:solidFill>
          </c:spPr>
          <c:invertIfNegative val="0"/>
          <c:cat>
            <c:strRef>
              <c:f>'Low activity under 10m'!$L$139:$N$139</c:f>
              <c:strCache>
                <c:ptCount val="3"/>
                <c:pt idx="0">
                  <c:v>Most
profitable
quartile</c:v>
                </c:pt>
                <c:pt idx="1">
                  <c:v>Middle
two quartiles</c:v>
                </c:pt>
                <c:pt idx="2">
                  <c:v>Least
profitable
quartile</c:v>
                </c:pt>
              </c:strCache>
            </c:strRef>
          </c:cat>
          <c:val>
            <c:numRef>
              <c:f>'Low activity under 10m'!$L$142:$N$142</c:f>
              <c:numCache>
                <c:formatCode>#,##0</c:formatCode>
                <c:ptCount val="3"/>
                <c:pt idx="0">
                  <c:v>-0.48471972656250001</c:v>
                </c:pt>
                <c:pt idx="1">
                  <c:v>-0.98626782226562504</c:v>
                </c:pt>
                <c:pt idx="2">
                  <c:v>-1.0817900390624999</c:v>
                </c:pt>
              </c:numCache>
            </c:numRef>
          </c:val>
          <c:extLst>
            <c:ext xmlns:c16="http://schemas.microsoft.com/office/drawing/2014/chart" uri="{C3380CC4-5D6E-409C-BE32-E72D297353CC}">
              <c16:uniqueId val="{00000002-EBA7-471A-AC63-7916B64E3DCE}"/>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'Low activity under 10m'!$K$143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300kW'!$A$49</c:f>
          <c:strCache>
            <c:ptCount val="1"/>
            <c:pt idx="0">
              <c:v>Landings per kW day at sea (kg)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A73-48C5-B877-0FDF71F898C7}"/>
              </c:ext>
            </c:extLst>
          </c:dPt>
          <c:dPt>
            <c:idx val="10"/>
            <c:bubble3D val="0"/>
            <c:spPr>
              <a:ln w="57150">
                <a:solidFill>
                  <a:srgbClr val="2273B9"/>
                </a:solidFill>
                <a:prstDash val="sysDot"/>
              </a:ln>
            </c:spPr>
            <c:extLst>
              <c:ext xmlns:c16="http://schemas.microsoft.com/office/drawing/2014/chart" uri="{C3380CC4-5D6E-409C-BE32-E72D297353CC}">
                <c16:uniqueId val="{00000003-1A73-48C5-B877-0FDF71F898C7}"/>
              </c:ext>
            </c:extLst>
          </c:dPt>
          <c:cat>
            <c:numRef>
              <c:f>'NS beam trawl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over 300kW'!$D$22:$N$22</c:f>
              <c:numCache>
                <c:formatCode>#,##0.00</c:formatCode>
                <c:ptCount val="11"/>
                <c:pt idx="0">
                  <c:v>3.6989979213846667</c:v>
                </c:pt>
                <c:pt idx="1">
                  <c:v>3.0654884837860195</c:v>
                </c:pt>
                <c:pt idx="2">
                  <c:v>3.0560596484096374</c:v>
                </c:pt>
                <c:pt idx="3">
                  <c:v>3.1873325317702004</c:v>
                </c:pt>
                <c:pt idx="4">
                  <c:v>3.3147402027274158</c:v>
                </c:pt>
                <c:pt idx="5">
                  <c:v>2.8869599537447073</c:v>
                </c:pt>
                <c:pt idx="6">
                  <c:v>2.038167439492141</c:v>
                </c:pt>
                <c:pt idx="7">
                  <c:v>1.698740415545378</c:v>
                </c:pt>
                <c:pt idx="8">
                  <c:v>1.2131792835435566</c:v>
                </c:pt>
                <c:pt idx="9">
                  <c:v>1.1211357339286796</c:v>
                </c:pt>
                <c:pt idx="10">
                  <c:v>1.1230293539451994</c:v>
                </c:pt>
              </c:numCache>
            </c:numRef>
          </c:val>
          <c:smooth val="0"/>
          <c:extLst>
            <c:ext xmlns:c16="http://schemas.microsoft.com/office/drawing/2014/chart" uri="{C3380CC4-5D6E-409C-BE32-E72D297353CC}">
              <c16:uniqueId val="{00000004-1A73-48C5-B877-0FDF71F898C7}"/>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demersal trawl'!$H$163</c:f>
              <c:strCache>
                <c:ptCount val="1"/>
                <c:pt idx="0">
                  <c:v>Haddock</c:v>
                </c:pt>
              </c:strCache>
            </c:strRef>
          </c:tx>
          <c:spPr>
            <a:solidFill>
              <a:srgbClr val="2273B9"/>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trawl'!$I$163:$K$163</c:f>
              <c:numCache>
                <c:formatCode>0%</c:formatCode>
                <c:ptCount val="3"/>
                <c:pt idx="0">
                  <c:v>0</c:v>
                </c:pt>
                <c:pt idx="1">
                  <c:v>0</c:v>
                </c:pt>
                <c:pt idx="2">
                  <c:v>0</c:v>
                </c:pt>
              </c:numCache>
            </c:numRef>
          </c:val>
          <c:extLst>
            <c:ext xmlns:c16="http://schemas.microsoft.com/office/drawing/2014/chart" uri="{C3380CC4-5D6E-409C-BE32-E72D297353CC}">
              <c16:uniqueId val="{00000000-79AB-4808-8A5C-8C61AA8CC8FA}"/>
            </c:ext>
          </c:extLst>
        </c:ser>
        <c:ser>
          <c:idx val="1"/>
          <c:order val="1"/>
          <c:tx>
            <c:strRef>
              <c:f>'Area VIIa demersal trawl'!$H$164</c:f>
              <c:strCache>
                <c:ptCount val="1"/>
                <c:pt idx="0">
                  <c:v>Hake</c:v>
                </c:pt>
              </c:strCache>
            </c:strRef>
          </c:tx>
          <c:spPr>
            <a:solidFill>
              <a:srgbClr val="648C2E"/>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trawl'!$I$164:$K$164</c:f>
              <c:numCache>
                <c:formatCode>0%</c:formatCode>
                <c:ptCount val="3"/>
                <c:pt idx="0">
                  <c:v>0</c:v>
                </c:pt>
                <c:pt idx="1">
                  <c:v>0</c:v>
                </c:pt>
                <c:pt idx="2">
                  <c:v>0</c:v>
                </c:pt>
              </c:numCache>
            </c:numRef>
          </c:val>
          <c:extLst>
            <c:ext xmlns:c16="http://schemas.microsoft.com/office/drawing/2014/chart" uri="{C3380CC4-5D6E-409C-BE32-E72D297353CC}">
              <c16:uniqueId val="{00000001-79AB-4808-8A5C-8C61AA8CC8FA}"/>
            </c:ext>
          </c:extLst>
        </c:ser>
        <c:ser>
          <c:idx val="2"/>
          <c:order val="2"/>
          <c:tx>
            <c:strRef>
              <c:f>'Area VIIa demersal trawl'!$H$165</c:f>
              <c:strCache>
                <c:ptCount val="1"/>
                <c:pt idx="0">
                  <c:v>Scallops</c:v>
                </c:pt>
              </c:strCache>
            </c:strRef>
          </c:tx>
          <c:spPr>
            <a:solidFill>
              <a:srgbClr val="E87308"/>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trawl'!$I$165:$K$165</c:f>
              <c:numCache>
                <c:formatCode>0%</c:formatCode>
                <c:ptCount val="3"/>
                <c:pt idx="0">
                  <c:v>0</c:v>
                </c:pt>
                <c:pt idx="1">
                  <c:v>0</c:v>
                </c:pt>
                <c:pt idx="2">
                  <c:v>0</c:v>
                </c:pt>
              </c:numCache>
            </c:numRef>
          </c:val>
          <c:extLst>
            <c:ext xmlns:c16="http://schemas.microsoft.com/office/drawing/2014/chart" uri="{C3380CC4-5D6E-409C-BE32-E72D297353CC}">
              <c16:uniqueId val="{00000002-79AB-4808-8A5C-8C61AA8CC8FA}"/>
            </c:ext>
          </c:extLst>
        </c:ser>
        <c:ser>
          <c:idx val="3"/>
          <c:order val="3"/>
          <c:tx>
            <c:strRef>
              <c:f>'Area VIIa demersal trawl'!$H$166</c:f>
              <c:strCache>
                <c:ptCount val="1"/>
                <c:pt idx="0">
                  <c:v>Nephrops</c:v>
                </c:pt>
              </c:strCache>
            </c:strRef>
          </c:tx>
          <c:spPr>
            <a:solidFill>
              <a:srgbClr val="E84A38"/>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trawl'!$I$166:$K$166</c:f>
              <c:numCache>
                <c:formatCode>0%</c:formatCode>
                <c:ptCount val="3"/>
                <c:pt idx="0">
                  <c:v>0</c:v>
                </c:pt>
                <c:pt idx="1">
                  <c:v>0</c:v>
                </c:pt>
                <c:pt idx="2">
                  <c:v>0</c:v>
                </c:pt>
              </c:numCache>
            </c:numRef>
          </c:val>
          <c:extLst>
            <c:ext xmlns:c16="http://schemas.microsoft.com/office/drawing/2014/chart" uri="{C3380CC4-5D6E-409C-BE32-E72D297353CC}">
              <c16:uniqueId val="{00000003-79AB-4808-8A5C-8C61AA8CC8FA}"/>
            </c:ext>
          </c:extLst>
        </c:ser>
        <c:ser>
          <c:idx val="4"/>
          <c:order val="4"/>
          <c:tx>
            <c:strRef>
              <c:f>'Area VIIa demersal trawl'!$H$167</c:f>
              <c:strCache>
                <c:ptCount val="1"/>
                <c:pt idx="0">
                  <c:v>Cod</c:v>
                </c:pt>
              </c:strCache>
            </c:strRef>
          </c:tx>
          <c:spPr>
            <a:solidFill>
              <a:srgbClr val="C1D119"/>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trawl'!$I$167:$K$167</c:f>
              <c:numCache>
                <c:formatCode>0%</c:formatCode>
                <c:ptCount val="3"/>
                <c:pt idx="0">
                  <c:v>0</c:v>
                </c:pt>
                <c:pt idx="1">
                  <c:v>0</c:v>
                </c:pt>
                <c:pt idx="2">
                  <c:v>0</c:v>
                </c:pt>
              </c:numCache>
            </c:numRef>
          </c:val>
          <c:extLst>
            <c:ext xmlns:c16="http://schemas.microsoft.com/office/drawing/2014/chart" uri="{C3380CC4-5D6E-409C-BE32-E72D297353CC}">
              <c16:uniqueId val="{00000004-79AB-4808-8A5C-8C61AA8CC8FA}"/>
            </c:ext>
          </c:extLst>
        </c:ser>
        <c:ser>
          <c:idx val="5"/>
          <c:order val="5"/>
          <c:tx>
            <c:strRef>
              <c:f>'Area VIIa demersal trawl'!$H$168</c:f>
              <c:strCache>
                <c:ptCount val="1"/>
                <c:pt idx="0">
                  <c:v>Plaice</c:v>
                </c:pt>
              </c:strCache>
            </c:strRef>
          </c:tx>
          <c:spPr>
            <a:solidFill>
              <a:srgbClr val="FED825"/>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trawl'!$I$168:$K$168</c:f>
              <c:numCache>
                <c:formatCode>0%</c:formatCode>
                <c:ptCount val="3"/>
                <c:pt idx="0">
                  <c:v>0</c:v>
                </c:pt>
                <c:pt idx="1">
                  <c:v>0</c:v>
                </c:pt>
                <c:pt idx="2">
                  <c:v>0</c:v>
                </c:pt>
              </c:numCache>
            </c:numRef>
          </c:val>
          <c:extLst>
            <c:ext xmlns:c16="http://schemas.microsoft.com/office/drawing/2014/chart" uri="{C3380CC4-5D6E-409C-BE32-E72D297353CC}">
              <c16:uniqueId val="{00000005-79AB-4808-8A5C-8C61AA8CC8FA}"/>
            </c:ext>
          </c:extLst>
        </c:ser>
        <c:ser>
          <c:idx val="6"/>
          <c:order val="6"/>
          <c:tx>
            <c:strRef>
              <c:f>'Area VIIa demersal trawl'!$H$169</c:f>
              <c:strCache>
                <c:ptCount val="1"/>
                <c:pt idx="0">
                  <c:v>Sole</c:v>
                </c:pt>
              </c:strCache>
            </c:strRef>
          </c:tx>
          <c:spPr>
            <a:solidFill>
              <a:srgbClr val="51AA81"/>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trawl'!$I$169:$K$169</c:f>
              <c:numCache>
                <c:formatCode>0%</c:formatCode>
                <c:ptCount val="3"/>
                <c:pt idx="0">
                  <c:v>0</c:v>
                </c:pt>
                <c:pt idx="1">
                  <c:v>0</c:v>
                </c:pt>
                <c:pt idx="2">
                  <c:v>0</c:v>
                </c:pt>
              </c:numCache>
            </c:numRef>
          </c:val>
          <c:extLst>
            <c:ext xmlns:c16="http://schemas.microsoft.com/office/drawing/2014/chart" uri="{C3380CC4-5D6E-409C-BE32-E72D297353CC}">
              <c16:uniqueId val="{00000006-79AB-4808-8A5C-8C61AA8CC8FA}"/>
            </c:ext>
          </c:extLst>
        </c:ser>
        <c:ser>
          <c:idx val="7"/>
          <c:order val="7"/>
          <c:tx>
            <c:strRef>
              <c:f>'Area VIIa demersal trawl'!$H$170</c:f>
              <c:strCache>
                <c:ptCount val="1"/>
                <c:pt idx="0">
                  <c:v>Thornback Ray</c:v>
                </c:pt>
              </c:strCache>
            </c:strRef>
          </c:tx>
          <c:spPr>
            <a:solidFill>
              <a:srgbClr val="707271"/>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trawl'!$I$170:$K$170</c:f>
              <c:numCache>
                <c:formatCode>0%</c:formatCode>
                <c:ptCount val="3"/>
                <c:pt idx="0">
                  <c:v>0</c:v>
                </c:pt>
                <c:pt idx="1">
                  <c:v>0</c:v>
                </c:pt>
                <c:pt idx="2">
                  <c:v>0</c:v>
                </c:pt>
              </c:numCache>
            </c:numRef>
          </c:val>
          <c:extLst>
            <c:ext xmlns:c16="http://schemas.microsoft.com/office/drawing/2014/chart" uri="{C3380CC4-5D6E-409C-BE32-E72D297353CC}">
              <c16:uniqueId val="{00000007-79AB-4808-8A5C-8C61AA8CC8FA}"/>
            </c:ext>
          </c:extLst>
        </c:ser>
        <c:ser>
          <c:idx val="8"/>
          <c:order val="8"/>
          <c:tx>
            <c:strRef>
              <c:f>'Area VIIa demersal trawl'!$H$171</c:f>
              <c:strCache>
                <c:ptCount val="1"/>
                <c:pt idx="0">
                  <c:v>Herring</c:v>
                </c:pt>
              </c:strCache>
            </c:strRef>
          </c:tx>
          <c:spPr>
            <a:solidFill>
              <a:srgbClr val="0F9AA9"/>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trawl'!$I$171:$K$171</c:f>
              <c:numCache>
                <c:formatCode>0%</c:formatCode>
                <c:ptCount val="3"/>
                <c:pt idx="0">
                  <c:v>0</c:v>
                </c:pt>
                <c:pt idx="1">
                  <c:v>0</c:v>
                </c:pt>
                <c:pt idx="2">
                  <c:v>0</c:v>
                </c:pt>
              </c:numCache>
            </c:numRef>
          </c:val>
          <c:extLst>
            <c:ext xmlns:c16="http://schemas.microsoft.com/office/drawing/2014/chart" uri="{C3380CC4-5D6E-409C-BE32-E72D297353CC}">
              <c16:uniqueId val="{00000008-79AB-4808-8A5C-8C61AA8CC8FA}"/>
            </c:ext>
          </c:extLst>
        </c:ser>
        <c:ser>
          <c:idx val="9"/>
          <c:order val="9"/>
          <c:tx>
            <c:strRef>
              <c:f>'Area VIIa demersal trawl'!$H$172</c:f>
              <c:strCache>
                <c:ptCount val="1"/>
                <c:pt idx="0">
                  <c:v>Pollack</c:v>
                </c:pt>
              </c:strCache>
            </c:strRef>
          </c:tx>
          <c:spPr>
            <a:solidFill>
              <a:srgbClr val="169FDB"/>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trawl'!$I$172:$K$172</c:f>
              <c:numCache>
                <c:formatCode>0%</c:formatCode>
                <c:ptCount val="3"/>
                <c:pt idx="0">
                  <c:v>0</c:v>
                </c:pt>
                <c:pt idx="1">
                  <c:v>0</c:v>
                </c:pt>
                <c:pt idx="2">
                  <c:v>0</c:v>
                </c:pt>
              </c:numCache>
            </c:numRef>
          </c:val>
          <c:extLst>
            <c:ext xmlns:c16="http://schemas.microsoft.com/office/drawing/2014/chart" uri="{C3380CC4-5D6E-409C-BE32-E72D297353CC}">
              <c16:uniqueId val="{00000009-79AB-4808-8A5C-8C61AA8CC8FA}"/>
            </c:ext>
          </c:extLst>
        </c:ser>
        <c:ser>
          <c:idx val="10"/>
          <c:order val="10"/>
          <c:tx>
            <c:strRef>
              <c:f>'Area VIIa demersal trawl'!$H$173</c:f>
              <c:strCache>
                <c:ptCount val="1"/>
                <c:pt idx="0">
                  <c:v>Others</c:v>
                </c:pt>
              </c:strCache>
            </c:strRef>
          </c:tx>
          <c:spPr>
            <a:solidFill>
              <a:srgbClr val="55585A"/>
            </a:solidFill>
            <a:ln>
              <a:solidFill>
                <a:srgbClr val="FFFFFF"/>
              </a:solidFill>
            </a:ln>
          </c:spPr>
          <c:invertIfNegative val="0"/>
          <c:cat>
            <c:strRef>
              <c:f>'Area VIIa demersal trawl'!$I$162:$K$162</c:f>
              <c:strCache>
                <c:ptCount val="3"/>
                <c:pt idx="0">
                  <c:v>Most
profitable
quartile</c:v>
                </c:pt>
                <c:pt idx="1">
                  <c:v>Middle 
two quartiles</c:v>
                </c:pt>
                <c:pt idx="2">
                  <c:v>Least
profitable
quartile</c:v>
                </c:pt>
              </c:strCache>
            </c:strRef>
          </c:cat>
          <c:val>
            <c:numRef>
              <c:f>'Area VIIa demersal trawl'!$I$173:$K$173</c:f>
              <c:numCache>
                <c:formatCode>0%</c:formatCode>
                <c:ptCount val="3"/>
                <c:pt idx="0">
                  <c:v>0</c:v>
                </c:pt>
                <c:pt idx="1">
                  <c:v>0</c:v>
                </c:pt>
                <c:pt idx="2">
                  <c:v>0</c:v>
                </c:pt>
              </c:numCache>
            </c:numRef>
          </c:val>
          <c:extLst>
            <c:ext xmlns:c16="http://schemas.microsoft.com/office/drawing/2014/chart" uri="{C3380CC4-5D6E-409C-BE32-E72D297353CC}">
              <c16:uniqueId val="{0000000A-79AB-4808-8A5C-8C61AA8CC8FA}"/>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300kW'!$A$50</c:f>
          <c:strCache>
            <c:ptCount val="1"/>
            <c:pt idx="0">
              <c:v>Fishing income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824D-4F80-9AAE-85C37CD1CADD}"/>
              </c:ext>
            </c:extLst>
          </c:dPt>
          <c:dPt>
            <c:idx val="10"/>
            <c:bubble3D val="0"/>
            <c:spPr>
              <a:ln w="57150">
                <a:solidFill>
                  <a:srgbClr val="648C2E"/>
                </a:solidFill>
                <a:prstDash val="sysDot"/>
              </a:ln>
            </c:spPr>
            <c:extLst>
              <c:ext xmlns:c16="http://schemas.microsoft.com/office/drawing/2014/chart" uri="{C3380CC4-5D6E-409C-BE32-E72D297353CC}">
                <c16:uniqueId val="{00000003-824D-4F80-9AAE-85C37CD1CADD}"/>
              </c:ext>
            </c:extLst>
          </c:dPt>
          <c:cat>
            <c:numRef>
              <c:f>'NS beam trawl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over 300kW'!$D$23:$N$23</c:f>
              <c:numCache>
                <c:formatCode>#,##0.00</c:formatCode>
                <c:ptCount val="11"/>
                <c:pt idx="0">
                  <c:v>7.3997445751900797</c:v>
                </c:pt>
                <c:pt idx="1">
                  <c:v>5.63502668153341</c:v>
                </c:pt>
                <c:pt idx="2">
                  <c:v>5.8813663953840702</c:v>
                </c:pt>
                <c:pt idx="3">
                  <c:v>6.68784293604112</c:v>
                </c:pt>
                <c:pt idx="4">
                  <c:v>7.38690527143679</c:v>
                </c:pt>
                <c:pt idx="5">
                  <c:v>6.0696146889946396</c:v>
                </c:pt>
                <c:pt idx="6">
                  <c:v>5.4678558263184298</c:v>
                </c:pt>
                <c:pt idx="7">
                  <c:v>3.9466032877141299</c:v>
                </c:pt>
                <c:pt idx="8">
                  <c:v>2.0764928781435898</c:v>
                </c:pt>
                <c:pt idx="9">
                  <c:v>1.4344969646404699</c:v>
                </c:pt>
                <c:pt idx="10">
                  <c:v>3.4527451991404647</c:v>
                </c:pt>
              </c:numCache>
            </c:numRef>
          </c:val>
          <c:smooth val="0"/>
          <c:extLst>
            <c:ext xmlns:c16="http://schemas.microsoft.com/office/drawing/2014/chart" uri="{C3380CC4-5D6E-409C-BE32-E72D297353CC}">
              <c16:uniqueId val="{00000004-824D-4F80-9AAE-85C37CD1CADD}"/>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300kW'!$B$63</c:f>
          <c:strCache>
            <c:ptCount val="1"/>
            <c:pt idx="0">
              <c:v>Total cost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8A1-4726-AE26-E2B597A5645A}"/>
              </c:ext>
            </c:extLst>
          </c:dPt>
          <c:dPt>
            <c:idx val="10"/>
            <c:bubble3D val="0"/>
            <c:spPr>
              <a:ln w="57150">
                <a:solidFill>
                  <a:srgbClr val="087CBB"/>
                </a:solidFill>
                <a:prstDash val="sysDot"/>
              </a:ln>
            </c:spPr>
            <c:extLst>
              <c:ext xmlns:c16="http://schemas.microsoft.com/office/drawing/2014/chart" uri="{C3380CC4-5D6E-409C-BE32-E72D297353CC}">
                <c16:uniqueId val="{00000003-18A1-4726-AE26-E2B597A5645A}"/>
              </c:ext>
            </c:extLst>
          </c:dPt>
          <c:cat>
            <c:numRef>
              <c:f>'NS beam trawl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over 300kW'!$D$24:$N$24</c:f>
              <c:numCache>
                <c:formatCode>#,##0.00</c:formatCode>
                <c:ptCount val="11"/>
                <c:pt idx="0">
                  <c:v>7.4074404156523501</c:v>
                </c:pt>
                <c:pt idx="1">
                  <c:v>6.0204606640252001</c:v>
                </c:pt>
                <c:pt idx="2">
                  <c:v>6.0219642946494201</c:v>
                </c:pt>
                <c:pt idx="3">
                  <c:v>6.4006377647376498</c:v>
                </c:pt>
                <c:pt idx="4">
                  <c:v>6.5295716887353903</c:v>
                </c:pt>
                <c:pt idx="5">
                  <c:v>6.0400256900654403</c:v>
                </c:pt>
                <c:pt idx="6">
                  <c:v>6.5826195647951602</c:v>
                </c:pt>
                <c:pt idx="7">
                  <c:v>4.4185791635618497</c:v>
                </c:pt>
                <c:pt idx="8">
                  <c:v>3.0962613338270701</c:v>
                </c:pt>
                <c:pt idx="9">
                  <c:v>3.0634585464908501</c:v>
                </c:pt>
                <c:pt idx="10">
                  <c:v>5.8898245531830167</c:v>
                </c:pt>
              </c:numCache>
            </c:numRef>
          </c:val>
          <c:smooth val="0"/>
          <c:extLst>
            <c:ext xmlns:c16="http://schemas.microsoft.com/office/drawing/2014/chart" uri="{C3380CC4-5D6E-409C-BE32-E72D297353CC}">
              <c16:uniqueId val="{00000004-18A1-4726-AE26-E2B597A5645A}"/>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300kW'!$K$49</c:f>
          <c:strCache>
            <c:ptCount val="1"/>
            <c:pt idx="0">
              <c:v>Operating profit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5AD3-43AD-85EA-10EA39DDBE39}"/>
              </c:ext>
            </c:extLst>
          </c:dPt>
          <c:dPt>
            <c:idx val="10"/>
            <c:bubble3D val="0"/>
            <c:spPr>
              <a:ln w="57150">
                <a:solidFill>
                  <a:schemeClr val="accent3"/>
                </a:solidFill>
                <a:prstDash val="sysDot"/>
              </a:ln>
            </c:spPr>
            <c:extLst>
              <c:ext xmlns:c16="http://schemas.microsoft.com/office/drawing/2014/chart" uri="{C3380CC4-5D6E-409C-BE32-E72D297353CC}">
                <c16:uniqueId val="{00000003-5AD3-43AD-85EA-10EA39DDBE39}"/>
              </c:ext>
            </c:extLst>
          </c:dPt>
          <c:cat>
            <c:numRef>
              <c:f>'NS beam trawl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over 300kW'!$D$25:$N$25</c:f>
              <c:numCache>
                <c:formatCode>#,##0.00</c:formatCode>
                <c:ptCount val="11"/>
                <c:pt idx="0">
                  <c:v>1.4113802687301599E-2</c:v>
                </c:pt>
                <c:pt idx="1">
                  <c:v>-0.30960340513426599</c:v>
                </c:pt>
                <c:pt idx="2">
                  <c:v>-0.11623350826522499</c:v>
                </c:pt>
                <c:pt idx="3">
                  <c:v>0.49115088512652399</c:v>
                </c:pt>
                <c:pt idx="4">
                  <c:v>0.93294178051218002</c:v>
                </c:pt>
                <c:pt idx="5">
                  <c:v>0.214681846779398</c:v>
                </c:pt>
                <c:pt idx="6">
                  <c:v>-0.173977567208905</c:v>
                </c:pt>
                <c:pt idx="7">
                  <c:v>-0.35162424443753199</c:v>
                </c:pt>
                <c:pt idx="8">
                  <c:v>-0.956445826808767</c:v>
                </c:pt>
                <c:pt idx="9">
                  <c:v>-1.58521661059288</c:v>
                </c:pt>
                <c:pt idx="10">
                  <c:v>-2.3317879312062941</c:v>
                </c:pt>
              </c:numCache>
            </c:numRef>
          </c:val>
          <c:smooth val="0"/>
          <c:extLst>
            <c:ext xmlns:c16="http://schemas.microsoft.com/office/drawing/2014/chart" uri="{C3380CC4-5D6E-409C-BE32-E72D297353CC}">
              <c16:uniqueId val="{00000004-5AD3-43AD-85EA-10EA39DDBE3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300kW'!$A$51</c:f>
          <c:strCache>
            <c:ptCount val="1"/>
            <c:pt idx="0">
              <c:v>Average price per tonne landed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96D-4F12-A246-8624B68621FF}"/>
              </c:ext>
            </c:extLst>
          </c:dPt>
          <c:dPt>
            <c:idx val="10"/>
            <c:bubble3D val="0"/>
            <c:spPr>
              <a:ln w="57150">
                <a:solidFill>
                  <a:schemeClr val="accent4"/>
                </a:solidFill>
                <a:prstDash val="sysDot"/>
              </a:ln>
            </c:spPr>
            <c:extLst>
              <c:ext xmlns:c16="http://schemas.microsoft.com/office/drawing/2014/chart" uri="{C3380CC4-5D6E-409C-BE32-E72D297353CC}">
                <c16:uniqueId val="{00000003-D96D-4F12-A246-8624B68621FF}"/>
              </c:ext>
            </c:extLst>
          </c:dPt>
          <c:cat>
            <c:numRef>
              <c:f>'NS beam trawl over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300kW'!$D$21:$N$21</c:f>
              <c:numCache>
                <c:formatCode>#,##0</c:formatCode>
                <c:ptCount val="11"/>
                <c:pt idx="0">
                  <c:v>2000</c:v>
                </c:pt>
                <c:pt idx="1">
                  <c:v>1838</c:v>
                </c:pt>
                <c:pt idx="2">
                  <c:v>1924</c:v>
                </c:pt>
                <c:pt idx="3">
                  <c:v>2098</c:v>
                </c:pt>
                <c:pt idx="4">
                  <c:v>2229</c:v>
                </c:pt>
                <c:pt idx="5">
                  <c:v>2102</c:v>
                </c:pt>
                <c:pt idx="6">
                  <c:v>2683</c:v>
                </c:pt>
                <c:pt idx="7">
                  <c:v>2323</c:v>
                </c:pt>
                <c:pt idx="8">
                  <c:v>1712</c:v>
                </c:pt>
                <c:pt idx="9">
                  <c:v>1280</c:v>
                </c:pt>
                <c:pt idx="10">
                  <c:v>3074</c:v>
                </c:pt>
              </c:numCache>
            </c:numRef>
          </c:val>
          <c:smooth val="0"/>
          <c:extLst>
            <c:ext xmlns:c16="http://schemas.microsoft.com/office/drawing/2014/chart" uri="{C3380CC4-5D6E-409C-BE32-E72D297353CC}">
              <c16:uniqueId val="{00000004-D96D-4F12-A246-8624B68621F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300kW'!$K$63</c:f>
          <c:strCache>
            <c:ptCount val="1"/>
            <c:pt idx="0">
              <c:v>Average annual operating profit per vessel (£'000)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ACE-45A0-9B11-F8E42F50D123}"/>
              </c:ext>
            </c:extLst>
          </c:dPt>
          <c:dPt>
            <c:idx val="10"/>
            <c:bubble3D val="0"/>
            <c:spPr>
              <a:ln w="57150">
                <a:solidFill>
                  <a:schemeClr val="accent5"/>
                </a:solidFill>
                <a:prstDash val="sysDot"/>
              </a:ln>
            </c:spPr>
            <c:extLst>
              <c:ext xmlns:c16="http://schemas.microsoft.com/office/drawing/2014/chart" uri="{C3380CC4-5D6E-409C-BE32-E72D297353CC}">
                <c16:uniqueId val="{00000003-BACE-45A0-9B11-F8E42F50D123}"/>
              </c:ext>
            </c:extLst>
          </c:dPt>
          <c:cat>
            <c:numRef>
              <c:f>'NS beam trawl over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300kW'!$D$38:$N$38</c:f>
              <c:numCache>
                <c:formatCode>#,##0.0</c:formatCode>
                <c:ptCount val="11"/>
                <c:pt idx="0">
                  <c:v>4.5</c:v>
                </c:pt>
                <c:pt idx="1">
                  <c:v>-106.3</c:v>
                </c:pt>
                <c:pt idx="2">
                  <c:v>-37.9</c:v>
                </c:pt>
                <c:pt idx="3">
                  <c:v>164.2</c:v>
                </c:pt>
                <c:pt idx="4">
                  <c:v>337.2</c:v>
                </c:pt>
                <c:pt idx="5">
                  <c:v>59.6</c:v>
                </c:pt>
                <c:pt idx="6">
                  <c:v>-61.2</c:v>
                </c:pt>
                <c:pt idx="7">
                  <c:v>-132.6</c:v>
                </c:pt>
                <c:pt idx="8">
                  <c:v>-345.2</c:v>
                </c:pt>
                <c:pt idx="9">
                  <c:v>-575</c:v>
                </c:pt>
                <c:pt idx="10">
                  <c:v>-570.70000000000005</c:v>
                </c:pt>
              </c:numCache>
            </c:numRef>
          </c:val>
          <c:smooth val="0"/>
          <c:extLst>
            <c:ext xmlns:c16="http://schemas.microsoft.com/office/drawing/2014/chart" uri="{C3380CC4-5D6E-409C-BE32-E72D297353CC}">
              <c16:uniqueId val="{00000004-BACE-45A0-9B11-F8E42F50D12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300kW'!$A$77</c:f>
          <c:strCache>
            <c:ptCount val="1"/>
            <c:pt idx="0">
              <c:v>Top 5 landed species by volume in 2021
North Sea beam trawl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057-4D15-8B28-95417E08360E}"/>
              </c:ext>
            </c:extLst>
          </c:dPt>
          <c:dPt>
            <c:idx val="1"/>
            <c:bubble3D val="0"/>
            <c:spPr>
              <a:solidFill>
                <a:srgbClr val="E87308"/>
              </a:solidFill>
              <a:ln>
                <a:solidFill>
                  <a:srgbClr val="FFFFFF"/>
                </a:solidFill>
              </a:ln>
            </c:spPr>
            <c:extLst>
              <c:ext xmlns:c16="http://schemas.microsoft.com/office/drawing/2014/chart" uri="{C3380CC4-5D6E-409C-BE32-E72D297353CC}">
                <c16:uniqueId val="{00000003-B057-4D15-8B28-95417E08360E}"/>
              </c:ext>
            </c:extLst>
          </c:dPt>
          <c:dPt>
            <c:idx val="2"/>
            <c:bubble3D val="0"/>
            <c:spPr>
              <a:solidFill>
                <a:srgbClr val="648C2E"/>
              </a:solidFill>
              <a:ln>
                <a:solidFill>
                  <a:srgbClr val="FFFFFF"/>
                </a:solidFill>
              </a:ln>
            </c:spPr>
            <c:extLst>
              <c:ext xmlns:c16="http://schemas.microsoft.com/office/drawing/2014/chart" uri="{C3380CC4-5D6E-409C-BE32-E72D297353CC}">
                <c16:uniqueId val="{00000005-B057-4D15-8B28-95417E08360E}"/>
              </c:ext>
            </c:extLst>
          </c:dPt>
          <c:dPt>
            <c:idx val="3"/>
            <c:bubble3D val="0"/>
            <c:spPr>
              <a:solidFill>
                <a:srgbClr val="0F9AA9"/>
              </a:solidFill>
              <a:ln>
                <a:solidFill>
                  <a:srgbClr val="FFFFFF"/>
                </a:solidFill>
              </a:ln>
            </c:spPr>
            <c:extLst>
              <c:ext xmlns:c16="http://schemas.microsoft.com/office/drawing/2014/chart" uri="{C3380CC4-5D6E-409C-BE32-E72D297353CC}">
                <c16:uniqueId val="{00000007-B057-4D15-8B28-95417E08360E}"/>
              </c:ext>
            </c:extLst>
          </c:dPt>
          <c:dPt>
            <c:idx val="4"/>
            <c:bubble3D val="0"/>
            <c:spPr>
              <a:solidFill>
                <a:srgbClr val="FED825"/>
              </a:solidFill>
              <a:ln>
                <a:solidFill>
                  <a:srgbClr val="FFFFFF"/>
                </a:solidFill>
              </a:ln>
            </c:spPr>
            <c:extLst>
              <c:ext xmlns:c16="http://schemas.microsoft.com/office/drawing/2014/chart" uri="{C3380CC4-5D6E-409C-BE32-E72D297353CC}">
                <c16:uniqueId val="{00000009-B057-4D15-8B28-95417E08360E}"/>
              </c:ext>
            </c:extLst>
          </c:dPt>
          <c:dPt>
            <c:idx val="5"/>
            <c:bubble3D val="0"/>
            <c:spPr>
              <a:solidFill>
                <a:srgbClr val="55585A"/>
              </a:solidFill>
              <a:ln>
                <a:solidFill>
                  <a:srgbClr val="FFFFFF"/>
                </a:solidFill>
              </a:ln>
            </c:spPr>
            <c:extLst>
              <c:ext xmlns:c16="http://schemas.microsoft.com/office/drawing/2014/chart" uri="{C3380CC4-5D6E-409C-BE32-E72D297353CC}">
                <c16:uniqueId val="{0000000B-B057-4D15-8B28-95417E08360E}"/>
              </c:ext>
            </c:extLst>
          </c:dPt>
          <c:cat>
            <c:strRef>
              <c:f>'NS beam trawl over 300kW'!$B$78:$B$83</c:f>
              <c:strCache>
                <c:ptCount val="6"/>
                <c:pt idx="0">
                  <c:v>Plaice - 59.9%</c:v>
                </c:pt>
                <c:pt idx="1">
                  <c:v>Sole - 13.8%</c:v>
                </c:pt>
                <c:pt idx="2">
                  <c:v>Turbot - 8.5%</c:v>
                </c:pt>
                <c:pt idx="3">
                  <c:v>Dabs - 3.8%</c:v>
                </c:pt>
                <c:pt idx="4">
                  <c:v>Thornback Ray - 3.1%</c:v>
                </c:pt>
                <c:pt idx="5">
                  <c:v>Others - 10.9%</c:v>
                </c:pt>
              </c:strCache>
            </c:strRef>
          </c:cat>
          <c:val>
            <c:numRef>
              <c:f>'NS beam trawl over 300kW'!$C$78:$C$83</c:f>
              <c:numCache>
                <c:formatCode>0.0%</c:formatCode>
                <c:ptCount val="6"/>
                <c:pt idx="0">
                  <c:v>0.59879383129007246</c:v>
                </c:pt>
                <c:pt idx="1">
                  <c:v>0.13772121117810315</c:v>
                </c:pt>
                <c:pt idx="2">
                  <c:v>8.4791214446456042E-2</c:v>
                </c:pt>
                <c:pt idx="3">
                  <c:v>3.8482911809464393E-2</c:v>
                </c:pt>
                <c:pt idx="4">
                  <c:v>3.1087261510497753E-2</c:v>
                </c:pt>
                <c:pt idx="5">
                  <c:v>0.10912356976540616</c:v>
                </c:pt>
              </c:numCache>
            </c:numRef>
          </c:val>
          <c:extLst>
            <c:ext xmlns:c16="http://schemas.microsoft.com/office/drawing/2014/chart" uri="{C3380CC4-5D6E-409C-BE32-E72D297353CC}">
              <c16:uniqueId val="{0000000C-B057-4D15-8B28-95417E08360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300kW'!$F$77</c:f>
          <c:strCache>
            <c:ptCount val="1"/>
            <c:pt idx="0">
              <c:v>Top 5 landed species by value in 2021
North Sea beam trawl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482-4981-9042-3EB644BB729E}"/>
              </c:ext>
            </c:extLst>
          </c:dPt>
          <c:dPt>
            <c:idx val="1"/>
            <c:bubble3D val="0"/>
            <c:spPr>
              <a:solidFill>
                <a:srgbClr val="E87308"/>
              </a:solidFill>
              <a:ln>
                <a:solidFill>
                  <a:srgbClr val="FFFFFF"/>
                </a:solidFill>
              </a:ln>
            </c:spPr>
            <c:extLst>
              <c:ext xmlns:c16="http://schemas.microsoft.com/office/drawing/2014/chart" uri="{C3380CC4-5D6E-409C-BE32-E72D297353CC}">
                <c16:uniqueId val="{00000003-6482-4981-9042-3EB644BB729E}"/>
              </c:ext>
            </c:extLst>
          </c:dPt>
          <c:dPt>
            <c:idx val="2"/>
            <c:bubble3D val="0"/>
            <c:spPr>
              <a:solidFill>
                <a:srgbClr val="648C2E"/>
              </a:solidFill>
              <a:ln>
                <a:solidFill>
                  <a:srgbClr val="FFFFFF"/>
                </a:solidFill>
              </a:ln>
            </c:spPr>
            <c:extLst>
              <c:ext xmlns:c16="http://schemas.microsoft.com/office/drawing/2014/chart" uri="{C3380CC4-5D6E-409C-BE32-E72D297353CC}">
                <c16:uniqueId val="{00000005-6482-4981-9042-3EB644BB729E}"/>
              </c:ext>
            </c:extLst>
          </c:dPt>
          <c:dPt>
            <c:idx val="3"/>
            <c:bubble3D val="0"/>
            <c:spPr>
              <a:solidFill>
                <a:srgbClr val="C1D119"/>
              </a:solidFill>
              <a:ln>
                <a:solidFill>
                  <a:srgbClr val="FFFFFF"/>
                </a:solidFill>
              </a:ln>
            </c:spPr>
            <c:extLst>
              <c:ext xmlns:c16="http://schemas.microsoft.com/office/drawing/2014/chart" uri="{C3380CC4-5D6E-409C-BE32-E72D297353CC}">
                <c16:uniqueId val="{00000007-6482-4981-9042-3EB644BB729E}"/>
              </c:ext>
            </c:extLst>
          </c:dPt>
          <c:dPt>
            <c:idx val="4"/>
            <c:bubble3D val="0"/>
            <c:spPr>
              <a:solidFill>
                <a:srgbClr val="E84A38"/>
              </a:solidFill>
              <a:ln>
                <a:solidFill>
                  <a:srgbClr val="FFFFFF"/>
                </a:solidFill>
              </a:ln>
            </c:spPr>
            <c:extLst>
              <c:ext xmlns:c16="http://schemas.microsoft.com/office/drawing/2014/chart" uri="{C3380CC4-5D6E-409C-BE32-E72D297353CC}">
                <c16:uniqueId val="{00000009-6482-4981-9042-3EB644BB729E}"/>
              </c:ext>
            </c:extLst>
          </c:dPt>
          <c:dPt>
            <c:idx val="5"/>
            <c:bubble3D val="0"/>
            <c:spPr>
              <a:solidFill>
                <a:srgbClr val="55585A"/>
              </a:solidFill>
              <a:ln>
                <a:solidFill>
                  <a:srgbClr val="FFFFFF"/>
                </a:solidFill>
              </a:ln>
            </c:spPr>
            <c:extLst>
              <c:ext xmlns:c16="http://schemas.microsoft.com/office/drawing/2014/chart" uri="{C3380CC4-5D6E-409C-BE32-E72D297353CC}">
                <c16:uniqueId val="{0000000B-6482-4981-9042-3EB644BB729E}"/>
              </c:ext>
            </c:extLst>
          </c:dPt>
          <c:cat>
            <c:strRef>
              <c:f>'NS beam trawl over 300kW'!$G$78:$G$83</c:f>
              <c:strCache>
                <c:ptCount val="6"/>
                <c:pt idx="0">
                  <c:v>Plaice - 42.0%</c:v>
                </c:pt>
                <c:pt idx="1">
                  <c:v>Sole - 22.5%</c:v>
                </c:pt>
                <c:pt idx="2">
                  <c:v>Turbot - 17.8%</c:v>
                </c:pt>
                <c:pt idx="3">
                  <c:v>Brown Crab - 4.6%</c:v>
                </c:pt>
                <c:pt idx="4">
                  <c:v>Brill - 3.4%</c:v>
                </c:pt>
                <c:pt idx="5">
                  <c:v>Others - 9.7%</c:v>
                </c:pt>
              </c:strCache>
            </c:strRef>
          </c:cat>
          <c:val>
            <c:numRef>
              <c:f>'NS beam trawl over 300kW'!$H$78:$H$83</c:f>
              <c:numCache>
                <c:formatCode>0.0%</c:formatCode>
                <c:ptCount val="6"/>
                <c:pt idx="0">
                  <c:v>0.42004647977272513</c:v>
                </c:pt>
                <c:pt idx="1">
                  <c:v>0.22497771241072342</c:v>
                </c:pt>
                <c:pt idx="2">
                  <c:v>0.17761457810310499</c:v>
                </c:pt>
                <c:pt idx="3">
                  <c:v>4.6334068998821698E-2</c:v>
                </c:pt>
                <c:pt idx="4">
                  <c:v>3.4082395864344424E-2</c:v>
                </c:pt>
                <c:pt idx="5">
                  <c:v>9.6944764850280252E-2</c:v>
                </c:pt>
              </c:numCache>
            </c:numRef>
          </c:val>
          <c:extLst>
            <c:ext xmlns:c16="http://schemas.microsoft.com/office/drawing/2014/chart" uri="{C3380CC4-5D6E-409C-BE32-E72D297353CC}">
              <c16:uniqueId val="{0000000C-6482-4981-9042-3EB644BB729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over 300kW'!$C$93</c:f>
              <c:strCache>
                <c:ptCount val="1"/>
                <c:pt idx="0">
                  <c:v>Plaice</c:v>
                </c:pt>
              </c:strCache>
            </c:strRef>
          </c:tx>
          <c:spPr>
            <a:solidFill>
              <a:srgbClr val="2273B9"/>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300kW'!$D$93:$M$93</c:f>
              <c:numCache>
                <c:formatCode>0%</c:formatCode>
                <c:ptCount val="10"/>
                <c:pt idx="0">
                  <c:v>0.60728518412264054</c:v>
                </c:pt>
                <c:pt idx="1">
                  <c:v>0.56732239820548225</c:v>
                </c:pt>
                <c:pt idx="2">
                  <c:v>0.61144307623912608</c:v>
                </c:pt>
                <c:pt idx="3">
                  <c:v>0.63293284724302268</c:v>
                </c:pt>
                <c:pt idx="4">
                  <c:v>0.63439816504212332</c:v>
                </c:pt>
                <c:pt idx="5">
                  <c:v>0.58373818731099447</c:v>
                </c:pt>
                <c:pt idx="6">
                  <c:v>0.6141269076027156</c:v>
                </c:pt>
                <c:pt idx="7">
                  <c:v>0.43528160498768631</c:v>
                </c:pt>
                <c:pt idx="8">
                  <c:v>0.42004647977272513</c:v>
                </c:pt>
                <c:pt idx="9">
                  <c:v>0.47001788546439688</c:v>
                </c:pt>
              </c:numCache>
            </c:numRef>
          </c:val>
          <c:extLst>
            <c:ext xmlns:c16="http://schemas.microsoft.com/office/drawing/2014/chart" uri="{C3380CC4-5D6E-409C-BE32-E72D297353CC}">
              <c16:uniqueId val="{00000000-3A3F-484F-948A-F7B8D36B0F55}"/>
            </c:ext>
          </c:extLst>
        </c:ser>
        <c:ser>
          <c:idx val="1"/>
          <c:order val="1"/>
          <c:tx>
            <c:strRef>
              <c:f>'NS beam trawl over 300kW'!$C$94</c:f>
              <c:strCache>
                <c:ptCount val="1"/>
                <c:pt idx="0">
                  <c:v>Sole</c:v>
                </c:pt>
              </c:strCache>
            </c:strRef>
          </c:tx>
          <c:spPr>
            <a:solidFill>
              <a:srgbClr val="E87308"/>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300kW'!$D$94:$M$94</c:f>
              <c:numCache>
                <c:formatCode>0%</c:formatCode>
                <c:ptCount val="10"/>
                <c:pt idx="0">
                  <c:v>0.21436602156158507</c:v>
                </c:pt>
                <c:pt idx="1">
                  <c:v>0.24871472857069629</c:v>
                </c:pt>
                <c:pt idx="2">
                  <c:v>0.24349591157324815</c:v>
                </c:pt>
                <c:pt idx="3">
                  <c:v>0.21805967263001569</c:v>
                </c:pt>
                <c:pt idx="4">
                  <c:v>0.18655787896255713</c:v>
                </c:pt>
                <c:pt idx="5">
                  <c:v>0.21201163599933345</c:v>
                </c:pt>
                <c:pt idx="6">
                  <c:v>0.1870710277959243</c:v>
                </c:pt>
                <c:pt idx="7">
                  <c:v>0.36271002115656137</c:v>
                </c:pt>
                <c:pt idx="8">
                  <c:v>0.22497771241072342</c:v>
                </c:pt>
                <c:pt idx="9">
                  <c:v>0.25215862113304977</c:v>
                </c:pt>
              </c:numCache>
            </c:numRef>
          </c:val>
          <c:extLst>
            <c:ext xmlns:c16="http://schemas.microsoft.com/office/drawing/2014/chart" uri="{C3380CC4-5D6E-409C-BE32-E72D297353CC}">
              <c16:uniqueId val="{00000001-3A3F-484F-948A-F7B8D36B0F55}"/>
            </c:ext>
          </c:extLst>
        </c:ser>
        <c:ser>
          <c:idx val="2"/>
          <c:order val="2"/>
          <c:tx>
            <c:strRef>
              <c:f>'NS beam trawl over 300kW'!$C$95</c:f>
              <c:strCache>
                <c:ptCount val="1"/>
                <c:pt idx="0">
                  <c:v>Turbot</c:v>
                </c:pt>
              </c:strCache>
            </c:strRef>
          </c:tx>
          <c:spPr>
            <a:solidFill>
              <a:srgbClr val="648C2E"/>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300kW'!$D$95:$M$95</c:f>
              <c:numCache>
                <c:formatCode>0%</c:formatCode>
                <c:ptCount val="10"/>
                <c:pt idx="0">
                  <c:v>9.1265225932750729E-2</c:v>
                </c:pt>
                <c:pt idx="1">
                  <c:v>9.8087758821706089E-2</c:v>
                </c:pt>
                <c:pt idx="2">
                  <c:v>6.7248349211095654E-2</c:v>
                </c:pt>
                <c:pt idx="3">
                  <c:v>6.955067855115396E-2</c:v>
                </c:pt>
                <c:pt idx="4">
                  <c:v>8.6559870628693455E-2</c:v>
                </c:pt>
                <c:pt idx="5">
                  <c:v>0.1053274513389376</c:v>
                </c:pt>
                <c:pt idx="6">
                  <c:v>0.10769860192298364</c:v>
                </c:pt>
                <c:pt idx="7">
                  <c:v>0.10449844584644039</c:v>
                </c:pt>
                <c:pt idx="8">
                  <c:v>0.17761457810310499</c:v>
                </c:pt>
                <c:pt idx="9">
                  <c:v>0.17150744596593934</c:v>
                </c:pt>
              </c:numCache>
            </c:numRef>
          </c:val>
          <c:extLst>
            <c:ext xmlns:c16="http://schemas.microsoft.com/office/drawing/2014/chart" uri="{C3380CC4-5D6E-409C-BE32-E72D297353CC}">
              <c16:uniqueId val="{00000002-3A3F-484F-948A-F7B8D36B0F55}"/>
            </c:ext>
          </c:extLst>
        </c:ser>
        <c:ser>
          <c:idx val="3"/>
          <c:order val="3"/>
          <c:tx>
            <c:strRef>
              <c:f>'NS beam trawl over 300kW'!$C$96</c:f>
              <c:strCache>
                <c:ptCount val="1"/>
                <c:pt idx="0">
                  <c:v>Brown Crab</c:v>
                </c:pt>
              </c:strCache>
            </c:strRef>
          </c:tx>
          <c:spPr>
            <a:solidFill>
              <a:srgbClr val="C1D119"/>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300kW'!$D$96:$M$96</c:f>
              <c:numCache>
                <c:formatCode>0%</c:formatCode>
                <c:ptCount val="10"/>
                <c:pt idx="8">
                  <c:v>4.6334068998821698E-2</c:v>
                </c:pt>
                <c:pt idx="9">
                  <c:v>1.6082418003261153E-2</c:v>
                </c:pt>
              </c:numCache>
            </c:numRef>
          </c:val>
          <c:extLst>
            <c:ext xmlns:c16="http://schemas.microsoft.com/office/drawing/2014/chart" uri="{C3380CC4-5D6E-409C-BE32-E72D297353CC}">
              <c16:uniqueId val="{00000003-3A3F-484F-948A-F7B8D36B0F55}"/>
            </c:ext>
          </c:extLst>
        </c:ser>
        <c:ser>
          <c:idx val="4"/>
          <c:order val="4"/>
          <c:tx>
            <c:strRef>
              <c:f>'NS beam trawl over 300kW'!$C$97</c:f>
              <c:strCache>
                <c:ptCount val="1"/>
                <c:pt idx="0">
                  <c:v>Brill</c:v>
                </c:pt>
              </c:strCache>
            </c:strRef>
          </c:tx>
          <c:spPr>
            <a:solidFill>
              <a:srgbClr val="E84A38"/>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300kW'!$D$97:$M$97</c:f>
              <c:numCache>
                <c:formatCode>0%</c:formatCode>
                <c:ptCount val="10"/>
                <c:pt idx="0">
                  <c:v>2.68597304623709E-2</c:v>
                </c:pt>
                <c:pt idx="1">
                  <c:v>2.9303678645102822E-2</c:v>
                </c:pt>
                <c:pt idx="2">
                  <c:v>2.2720030122114532E-2</c:v>
                </c:pt>
                <c:pt idx="3">
                  <c:v>2.5131648097849523E-2</c:v>
                </c:pt>
                <c:pt idx="4">
                  <c:v>2.8697118974809314E-2</c:v>
                </c:pt>
                <c:pt idx="5">
                  <c:v>3.0585245774404385E-2</c:v>
                </c:pt>
                <c:pt idx="6">
                  <c:v>2.4169951874121569E-2</c:v>
                </c:pt>
                <c:pt idx="7">
                  <c:v>2.9826659821406792E-2</c:v>
                </c:pt>
                <c:pt idx="8">
                  <c:v>3.4082395864344424E-2</c:v>
                </c:pt>
                <c:pt idx="9">
                  <c:v>2.9925640057642117E-2</c:v>
                </c:pt>
              </c:numCache>
            </c:numRef>
          </c:val>
          <c:extLst>
            <c:ext xmlns:c16="http://schemas.microsoft.com/office/drawing/2014/chart" uri="{C3380CC4-5D6E-409C-BE32-E72D297353CC}">
              <c16:uniqueId val="{00000004-3A3F-484F-948A-F7B8D36B0F55}"/>
            </c:ext>
          </c:extLst>
        </c:ser>
        <c:ser>
          <c:idx val="5"/>
          <c:order val="5"/>
          <c:tx>
            <c:strRef>
              <c:f>'NS beam trawl over 300kW'!$C$98</c:f>
              <c:strCache>
                <c:ptCount val="1"/>
                <c:pt idx="0">
                  <c:v>Dabs</c:v>
                </c:pt>
              </c:strCache>
            </c:strRef>
          </c:tx>
          <c:spPr>
            <a:solidFill>
              <a:srgbClr val="0F9AA9"/>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300kW'!$D$98:$M$98</c:f>
              <c:numCache>
                <c:formatCode>0%</c:formatCode>
                <c:ptCount val="10"/>
                <c:pt idx="7">
                  <c:v>1.4082250243314451E-2</c:v>
                </c:pt>
              </c:numCache>
            </c:numRef>
          </c:val>
          <c:extLst>
            <c:ext xmlns:c16="http://schemas.microsoft.com/office/drawing/2014/chart" uri="{C3380CC4-5D6E-409C-BE32-E72D297353CC}">
              <c16:uniqueId val="{00000005-3A3F-484F-948A-F7B8D36B0F55}"/>
            </c:ext>
          </c:extLst>
        </c:ser>
        <c:ser>
          <c:idx val="6"/>
          <c:order val="6"/>
          <c:tx>
            <c:strRef>
              <c:f>'NS beam trawl over 300kW'!$C$99</c:f>
              <c:strCache>
                <c:ptCount val="1"/>
                <c:pt idx="0">
                  <c:v>Lemon Sole</c:v>
                </c:pt>
              </c:strCache>
            </c:strRef>
          </c:tx>
          <c:spPr>
            <a:solidFill>
              <a:srgbClr val="FED825"/>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300kW'!$D$99:$M$99</c:f>
              <c:numCache>
                <c:formatCode>0%</c:formatCode>
                <c:ptCount val="10"/>
                <c:pt idx="0">
                  <c:v>2.263898476694105E-2</c:v>
                </c:pt>
                <c:pt idx="1">
                  <c:v>2.5202441287532809E-2</c:v>
                </c:pt>
                <c:pt idx="2">
                  <c:v>2.7082498270080774E-2</c:v>
                </c:pt>
                <c:pt idx="3">
                  <c:v>2.3040893473712232E-2</c:v>
                </c:pt>
                <c:pt idx="4">
                  <c:v>2.9373136056131715E-2</c:v>
                </c:pt>
                <c:pt idx="5">
                  <c:v>2.1025521728858163E-2</c:v>
                </c:pt>
                <c:pt idx="6">
                  <c:v>1.9426674001319373E-2</c:v>
                </c:pt>
              </c:numCache>
            </c:numRef>
          </c:val>
          <c:extLst>
            <c:ext xmlns:c16="http://schemas.microsoft.com/office/drawing/2014/chart" uri="{C3380CC4-5D6E-409C-BE32-E72D297353CC}">
              <c16:uniqueId val="{00000006-3A3F-484F-948A-F7B8D36B0F55}"/>
            </c:ext>
          </c:extLst>
        </c:ser>
        <c:ser>
          <c:idx val="7"/>
          <c:order val="7"/>
          <c:tx>
            <c:strRef>
              <c:f>'NS beam trawl over 300kW'!$C$100</c:f>
              <c:strCache>
                <c:ptCount val="1"/>
                <c:pt idx="0">
                  <c:v>Others</c:v>
                </c:pt>
              </c:strCache>
            </c:strRef>
          </c:tx>
          <c:spPr>
            <a:solidFill>
              <a:srgbClr val="55585A"/>
            </a:solidFill>
            <a:ln>
              <a:solidFill>
                <a:srgbClr val="FFFFFF"/>
              </a:solidFill>
            </a:ln>
          </c:spPr>
          <c:invertIfNegative val="0"/>
          <c:cat>
            <c:numRef>
              <c:f>'NS beam trawl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over 300kW'!$D$100:$M$100</c:f>
              <c:numCache>
                <c:formatCode>0%</c:formatCode>
                <c:ptCount val="10"/>
                <c:pt idx="0">
                  <c:v>3.7584853153711691E-2</c:v>
                </c:pt>
                <c:pt idx="1">
                  <c:v>3.1368994469479793E-2</c:v>
                </c:pt>
                <c:pt idx="2">
                  <c:v>2.8010134584334784E-2</c:v>
                </c:pt>
                <c:pt idx="3">
                  <c:v>3.1284260004245903E-2</c:v>
                </c:pt>
                <c:pt idx="4">
                  <c:v>3.4413830335685028E-2</c:v>
                </c:pt>
                <c:pt idx="5">
                  <c:v>4.7311957847471942E-2</c:v>
                </c:pt>
                <c:pt idx="6">
                  <c:v>4.7506836802935527E-2</c:v>
                </c:pt>
                <c:pt idx="7">
                  <c:v>5.3601017944590684E-2</c:v>
                </c:pt>
                <c:pt idx="8">
                  <c:v>9.6944764850280321E-2</c:v>
                </c:pt>
                <c:pt idx="9">
                  <c:v>6.0307989375710712E-2</c:v>
                </c:pt>
              </c:numCache>
            </c:numRef>
          </c:val>
          <c:extLst>
            <c:ext xmlns:c16="http://schemas.microsoft.com/office/drawing/2014/chart" uri="{C3380CC4-5D6E-409C-BE32-E72D297353CC}">
              <c16:uniqueId val="{00000007-3A3F-484F-948A-F7B8D36B0F55}"/>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over 300kW'!$B$163</c:f>
              <c:strCache>
                <c:ptCount val="1"/>
                <c:pt idx="0">
                  <c:v>Plaice</c:v>
                </c:pt>
              </c:strCache>
            </c:strRef>
          </c:tx>
          <c:spPr>
            <a:solidFill>
              <a:srgbClr val="2273B9"/>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300kW'!$C$163:$E$163</c:f>
              <c:numCache>
                <c:formatCode>0%</c:formatCode>
                <c:ptCount val="3"/>
                <c:pt idx="0">
                  <c:v>0</c:v>
                </c:pt>
                <c:pt idx="1">
                  <c:v>0</c:v>
                </c:pt>
                <c:pt idx="2">
                  <c:v>0</c:v>
                </c:pt>
              </c:numCache>
            </c:numRef>
          </c:val>
          <c:extLst>
            <c:ext xmlns:c16="http://schemas.microsoft.com/office/drawing/2014/chart" uri="{C3380CC4-5D6E-409C-BE32-E72D297353CC}">
              <c16:uniqueId val="{00000000-1D88-4747-B5DA-4D308F3A1F5C}"/>
            </c:ext>
          </c:extLst>
        </c:ser>
        <c:ser>
          <c:idx val="1"/>
          <c:order val="1"/>
          <c:tx>
            <c:strRef>
              <c:f>'NS beam trawl over 300kW'!$B$164</c:f>
              <c:strCache>
                <c:ptCount val="1"/>
                <c:pt idx="0">
                  <c:v>Sole</c:v>
                </c:pt>
              </c:strCache>
            </c:strRef>
          </c:tx>
          <c:spPr>
            <a:solidFill>
              <a:srgbClr val="E87308"/>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300kW'!$C$164:$E$164</c:f>
              <c:numCache>
                <c:formatCode>0%</c:formatCode>
                <c:ptCount val="3"/>
                <c:pt idx="0">
                  <c:v>0</c:v>
                </c:pt>
                <c:pt idx="1">
                  <c:v>0</c:v>
                </c:pt>
                <c:pt idx="2">
                  <c:v>0</c:v>
                </c:pt>
              </c:numCache>
            </c:numRef>
          </c:val>
          <c:extLst>
            <c:ext xmlns:c16="http://schemas.microsoft.com/office/drawing/2014/chart" uri="{C3380CC4-5D6E-409C-BE32-E72D297353CC}">
              <c16:uniqueId val="{00000001-1D88-4747-B5DA-4D308F3A1F5C}"/>
            </c:ext>
          </c:extLst>
        </c:ser>
        <c:ser>
          <c:idx val="2"/>
          <c:order val="2"/>
          <c:tx>
            <c:strRef>
              <c:f>'NS beam trawl over 300kW'!$B$165</c:f>
              <c:strCache>
                <c:ptCount val="1"/>
                <c:pt idx="0">
                  <c:v>Turbot</c:v>
                </c:pt>
              </c:strCache>
            </c:strRef>
          </c:tx>
          <c:spPr>
            <a:solidFill>
              <a:srgbClr val="648C2E"/>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300kW'!$C$165:$E$165</c:f>
              <c:numCache>
                <c:formatCode>0%</c:formatCode>
                <c:ptCount val="3"/>
                <c:pt idx="0">
                  <c:v>0</c:v>
                </c:pt>
                <c:pt idx="1">
                  <c:v>0</c:v>
                </c:pt>
                <c:pt idx="2">
                  <c:v>0</c:v>
                </c:pt>
              </c:numCache>
            </c:numRef>
          </c:val>
          <c:extLst>
            <c:ext xmlns:c16="http://schemas.microsoft.com/office/drawing/2014/chart" uri="{C3380CC4-5D6E-409C-BE32-E72D297353CC}">
              <c16:uniqueId val="{00000002-1D88-4747-B5DA-4D308F3A1F5C}"/>
            </c:ext>
          </c:extLst>
        </c:ser>
        <c:ser>
          <c:idx val="3"/>
          <c:order val="3"/>
          <c:tx>
            <c:strRef>
              <c:f>'NS beam trawl over 300kW'!$B$166</c:f>
              <c:strCache>
                <c:ptCount val="1"/>
                <c:pt idx="0">
                  <c:v>Thornback Ray</c:v>
                </c:pt>
              </c:strCache>
            </c:strRef>
          </c:tx>
          <c:spPr>
            <a:solidFill>
              <a:srgbClr val="FED825"/>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300kW'!$C$166:$E$166</c:f>
              <c:numCache>
                <c:formatCode>0%</c:formatCode>
                <c:ptCount val="3"/>
                <c:pt idx="0">
                  <c:v>0</c:v>
                </c:pt>
                <c:pt idx="1">
                  <c:v>0</c:v>
                </c:pt>
                <c:pt idx="2">
                  <c:v>0</c:v>
                </c:pt>
              </c:numCache>
            </c:numRef>
          </c:val>
          <c:extLst>
            <c:ext xmlns:c16="http://schemas.microsoft.com/office/drawing/2014/chart" uri="{C3380CC4-5D6E-409C-BE32-E72D297353CC}">
              <c16:uniqueId val="{00000003-1D88-4747-B5DA-4D308F3A1F5C}"/>
            </c:ext>
          </c:extLst>
        </c:ser>
        <c:ser>
          <c:idx val="4"/>
          <c:order val="4"/>
          <c:tx>
            <c:strRef>
              <c:f>'NS beam trawl over 300kW'!$B$167</c:f>
              <c:strCache>
                <c:ptCount val="1"/>
                <c:pt idx="0">
                  <c:v>Dabs</c:v>
                </c:pt>
              </c:strCache>
            </c:strRef>
          </c:tx>
          <c:spPr>
            <a:solidFill>
              <a:srgbClr val="0F9AA9"/>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300kW'!$C$167:$E$167</c:f>
              <c:numCache>
                <c:formatCode>0%</c:formatCode>
                <c:ptCount val="3"/>
                <c:pt idx="0">
                  <c:v>0</c:v>
                </c:pt>
                <c:pt idx="1">
                  <c:v>0</c:v>
                </c:pt>
                <c:pt idx="2">
                  <c:v>0</c:v>
                </c:pt>
              </c:numCache>
            </c:numRef>
          </c:val>
          <c:extLst>
            <c:ext xmlns:c16="http://schemas.microsoft.com/office/drawing/2014/chart" uri="{C3380CC4-5D6E-409C-BE32-E72D297353CC}">
              <c16:uniqueId val="{00000004-1D88-4747-B5DA-4D308F3A1F5C}"/>
            </c:ext>
          </c:extLst>
        </c:ser>
        <c:ser>
          <c:idx val="5"/>
          <c:order val="5"/>
          <c:tx>
            <c:strRef>
              <c:f>'NS beam trawl over 300kW'!$B$168</c:f>
              <c:strCache>
                <c:ptCount val="1"/>
                <c:pt idx="0">
                  <c:v>Brown Crab</c:v>
                </c:pt>
              </c:strCache>
            </c:strRef>
          </c:tx>
          <c:spPr>
            <a:solidFill>
              <a:srgbClr val="C1D119"/>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300kW'!$C$168:$E$168</c:f>
              <c:numCache>
                <c:formatCode>0%</c:formatCode>
                <c:ptCount val="3"/>
                <c:pt idx="0">
                  <c:v>0</c:v>
                </c:pt>
                <c:pt idx="1">
                  <c:v>0</c:v>
                </c:pt>
                <c:pt idx="2">
                  <c:v>0</c:v>
                </c:pt>
              </c:numCache>
            </c:numRef>
          </c:val>
          <c:extLst>
            <c:ext xmlns:c16="http://schemas.microsoft.com/office/drawing/2014/chart" uri="{C3380CC4-5D6E-409C-BE32-E72D297353CC}">
              <c16:uniqueId val="{00000005-1D88-4747-B5DA-4D308F3A1F5C}"/>
            </c:ext>
          </c:extLst>
        </c:ser>
        <c:ser>
          <c:idx val="6"/>
          <c:order val="6"/>
          <c:tx>
            <c:strRef>
              <c:f>'NS beam trawl over 300kW'!$B$169</c:f>
              <c:strCache>
                <c:ptCount val="1"/>
                <c:pt idx="0">
                  <c:v>Lemon Sole</c:v>
                </c:pt>
              </c:strCache>
            </c:strRef>
          </c:tx>
          <c:spPr>
            <a:solidFill>
              <a:srgbClr val="707271"/>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300kW'!$C$169:$E$169</c:f>
              <c:numCache>
                <c:formatCode>0%</c:formatCode>
                <c:ptCount val="3"/>
                <c:pt idx="0">
                  <c:v>0</c:v>
                </c:pt>
                <c:pt idx="1">
                  <c:v>0</c:v>
                </c:pt>
                <c:pt idx="2">
                  <c:v>0</c:v>
                </c:pt>
              </c:numCache>
            </c:numRef>
          </c:val>
          <c:extLst>
            <c:ext xmlns:c16="http://schemas.microsoft.com/office/drawing/2014/chart" uri="{C3380CC4-5D6E-409C-BE32-E72D297353CC}">
              <c16:uniqueId val="{00000006-1D88-4747-B5DA-4D308F3A1F5C}"/>
            </c:ext>
          </c:extLst>
        </c:ser>
        <c:ser>
          <c:idx val="7"/>
          <c:order val="7"/>
          <c:tx>
            <c:strRef>
              <c:f>'NS beam trawl over 300kW'!$B$170</c:f>
              <c:strCache>
                <c:ptCount val="1"/>
                <c:pt idx="0">
                  <c:v>Others</c:v>
                </c:pt>
              </c:strCache>
            </c:strRef>
          </c:tx>
          <c:spPr>
            <a:solidFill>
              <a:srgbClr val="55585A"/>
            </a:solidFill>
            <a:ln>
              <a:solidFill>
                <a:srgbClr val="FFFFFF"/>
              </a:solidFill>
            </a:ln>
          </c:spPr>
          <c:invertIfNegative val="0"/>
          <c:cat>
            <c:strRef>
              <c:f>'NS beam trawl over 300kW'!$C$162:$E$162</c:f>
              <c:strCache>
                <c:ptCount val="3"/>
                <c:pt idx="0">
                  <c:v>Most
profitable
quartile</c:v>
                </c:pt>
                <c:pt idx="1">
                  <c:v>Middle 
two quartiles</c:v>
                </c:pt>
                <c:pt idx="2">
                  <c:v>Least
profitable
quartile</c:v>
                </c:pt>
              </c:strCache>
            </c:strRef>
          </c:cat>
          <c:val>
            <c:numRef>
              <c:f>'NS beam trawl over 300kW'!$C$170:$E$170</c:f>
              <c:numCache>
                <c:formatCode>0%</c:formatCode>
                <c:ptCount val="3"/>
                <c:pt idx="0">
                  <c:v>0</c:v>
                </c:pt>
                <c:pt idx="1">
                  <c:v>0</c:v>
                </c:pt>
                <c:pt idx="2">
                  <c:v>0</c:v>
                </c:pt>
              </c:numCache>
            </c:numRef>
          </c:val>
          <c:extLst>
            <c:ext xmlns:c16="http://schemas.microsoft.com/office/drawing/2014/chart" uri="{C3380CC4-5D6E-409C-BE32-E72D297353CC}">
              <c16:uniqueId val="{00000007-1D88-4747-B5DA-4D308F3A1F5C}"/>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over 300kW'!$H$163</c:f>
              <c:strCache>
                <c:ptCount val="1"/>
                <c:pt idx="0">
                  <c:v>Plaice</c:v>
                </c:pt>
              </c:strCache>
            </c:strRef>
          </c:tx>
          <c:spPr>
            <a:solidFill>
              <a:srgbClr val="2273B9"/>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300kW'!$I$163:$K$163</c:f>
              <c:numCache>
                <c:formatCode>0%</c:formatCode>
                <c:ptCount val="3"/>
                <c:pt idx="0">
                  <c:v>0</c:v>
                </c:pt>
                <c:pt idx="1">
                  <c:v>0</c:v>
                </c:pt>
                <c:pt idx="2">
                  <c:v>0</c:v>
                </c:pt>
              </c:numCache>
            </c:numRef>
          </c:val>
          <c:extLst>
            <c:ext xmlns:c16="http://schemas.microsoft.com/office/drawing/2014/chart" uri="{C3380CC4-5D6E-409C-BE32-E72D297353CC}">
              <c16:uniqueId val="{00000000-5C34-41FD-8FA4-31FF00B181C6}"/>
            </c:ext>
          </c:extLst>
        </c:ser>
        <c:ser>
          <c:idx val="1"/>
          <c:order val="1"/>
          <c:tx>
            <c:strRef>
              <c:f>'NS beam trawl over 300kW'!$H$164</c:f>
              <c:strCache>
                <c:ptCount val="1"/>
                <c:pt idx="0">
                  <c:v>Sole</c:v>
                </c:pt>
              </c:strCache>
            </c:strRef>
          </c:tx>
          <c:spPr>
            <a:solidFill>
              <a:srgbClr val="E87308"/>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300kW'!$I$164:$K$164</c:f>
              <c:numCache>
                <c:formatCode>0%</c:formatCode>
                <c:ptCount val="3"/>
                <c:pt idx="0">
                  <c:v>0</c:v>
                </c:pt>
                <c:pt idx="1">
                  <c:v>0</c:v>
                </c:pt>
                <c:pt idx="2">
                  <c:v>0</c:v>
                </c:pt>
              </c:numCache>
            </c:numRef>
          </c:val>
          <c:extLst>
            <c:ext xmlns:c16="http://schemas.microsoft.com/office/drawing/2014/chart" uri="{C3380CC4-5D6E-409C-BE32-E72D297353CC}">
              <c16:uniqueId val="{00000001-5C34-41FD-8FA4-31FF00B181C6}"/>
            </c:ext>
          </c:extLst>
        </c:ser>
        <c:ser>
          <c:idx val="2"/>
          <c:order val="2"/>
          <c:tx>
            <c:strRef>
              <c:f>'NS beam trawl over 300kW'!$H$165</c:f>
              <c:strCache>
                <c:ptCount val="1"/>
                <c:pt idx="0">
                  <c:v>Turbot</c:v>
                </c:pt>
              </c:strCache>
            </c:strRef>
          </c:tx>
          <c:spPr>
            <a:solidFill>
              <a:srgbClr val="648C2E"/>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300kW'!$I$165:$K$165</c:f>
              <c:numCache>
                <c:formatCode>0%</c:formatCode>
                <c:ptCount val="3"/>
                <c:pt idx="0">
                  <c:v>0</c:v>
                </c:pt>
                <c:pt idx="1">
                  <c:v>0</c:v>
                </c:pt>
                <c:pt idx="2">
                  <c:v>0</c:v>
                </c:pt>
              </c:numCache>
            </c:numRef>
          </c:val>
          <c:extLst>
            <c:ext xmlns:c16="http://schemas.microsoft.com/office/drawing/2014/chart" uri="{C3380CC4-5D6E-409C-BE32-E72D297353CC}">
              <c16:uniqueId val="{00000002-5C34-41FD-8FA4-31FF00B181C6}"/>
            </c:ext>
          </c:extLst>
        </c:ser>
        <c:ser>
          <c:idx val="3"/>
          <c:order val="3"/>
          <c:tx>
            <c:strRef>
              <c:f>'NS beam trawl over 300kW'!$H$166</c:f>
              <c:strCache>
                <c:ptCount val="1"/>
                <c:pt idx="0">
                  <c:v>Brown Crab</c:v>
                </c:pt>
              </c:strCache>
            </c:strRef>
          </c:tx>
          <c:spPr>
            <a:solidFill>
              <a:srgbClr val="C1D119"/>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300kW'!$I$166:$K$166</c:f>
              <c:numCache>
                <c:formatCode>0%</c:formatCode>
                <c:ptCount val="3"/>
                <c:pt idx="0">
                  <c:v>0</c:v>
                </c:pt>
                <c:pt idx="1">
                  <c:v>0</c:v>
                </c:pt>
                <c:pt idx="2">
                  <c:v>0</c:v>
                </c:pt>
              </c:numCache>
            </c:numRef>
          </c:val>
          <c:extLst>
            <c:ext xmlns:c16="http://schemas.microsoft.com/office/drawing/2014/chart" uri="{C3380CC4-5D6E-409C-BE32-E72D297353CC}">
              <c16:uniqueId val="{00000003-5C34-41FD-8FA4-31FF00B181C6}"/>
            </c:ext>
          </c:extLst>
        </c:ser>
        <c:ser>
          <c:idx val="4"/>
          <c:order val="4"/>
          <c:tx>
            <c:strRef>
              <c:f>'NS beam trawl over 300kW'!$H$167</c:f>
              <c:strCache>
                <c:ptCount val="1"/>
                <c:pt idx="0">
                  <c:v>Brill</c:v>
                </c:pt>
              </c:strCache>
            </c:strRef>
          </c:tx>
          <c:spPr>
            <a:solidFill>
              <a:srgbClr val="E84A38"/>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300kW'!$I$167:$K$167</c:f>
              <c:numCache>
                <c:formatCode>0%</c:formatCode>
                <c:ptCount val="3"/>
                <c:pt idx="0">
                  <c:v>0</c:v>
                </c:pt>
                <c:pt idx="1">
                  <c:v>0</c:v>
                </c:pt>
                <c:pt idx="2">
                  <c:v>0</c:v>
                </c:pt>
              </c:numCache>
            </c:numRef>
          </c:val>
          <c:extLst>
            <c:ext xmlns:c16="http://schemas.microsoft.com/office/drawing/2014/chart" uri="{C3380CC4-5D6E-409C-BE32-E72D297353CC}">
              <c16:uniqueId val="{00000004-5C34-41FD-8FA4-31FF00B181C6}"/>
            </c:ext>
          </c:extLst>
        </c:ser>
        <c:ser>
          <c:idx val="5"/>
          <c:order val="5"/>
          <c:tx>
            <c:strRef>
              <c:f>'NS beam trawl over 300kW'!$H$168</c:f>
              <c:strCache>
                <c:ptCount val="1"/>
                <c:pt idx="0">
                  <c:v>Dabs</c:v>
                </c:pt>
              </c:strCache>
            </c:strRef>
          </c:tx>
          <c:spPr>
            <a:solidFill>
              <a:srgbClr val="0F9AA9"/>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300kW'!$I$168:$K$168</c:f>
              <c:numCache>
                <c:formatCode>0%</c:formatCode>
                <c:ptCount val="3"/>
                <c:pt idx="0">
                  <c:v>0</c:v>
                </c:pt>
                <c:pt idx="1">
                  <c:v>0</c:v>
                </c:pt>
                <c:pt idx="2">
                  <c:v>0</c:v>
                </c:pt>
              </c:numCache>
            </c:numRef>
          </c:val>
          <c:extLst>
            <c:ext xmlns:c16="http://schemas.microsoft.com/office/drawing/2014/chart" uri="{C3380CC4-5D6E-409C-BE32-E72D297353CC}">
              <c16:uniqueId val="{00000005-5C34-41FD-8FA4-31FF00B181C6}"/>
            </c:ext>
          </c:extLst>
        </c:ser>
        <c:ser>
          <c:idx val="6"/>
          <c:order val="6"/>
          <c:tx>
            <c:strRef>
              <c:f>'NS beam trawl over 300kW'!$H$169</c:f>
              <c:strCache>
                <c:ptCount val="1"/>
                <c:pt idx="0">
                  <c:v>Others</c:v>
                </c:pt>
              </c:strCache>
            </c:strRef>
          </c:tx>
          <c:spPr>
            <a:solidFill>
              <a:srgbClr val="55585A"/>
            </a:solidFill>
            <a:ln>
              <a:solidFill>
                <a:srgbClr val="FFFFFF"/>
              </a:solidFill>
            </a:ln>
          </c:spPr>
          <c:invertIfNegative val="0"/>
          <c:cat>
            <c:strRef>
              <c:f>'NS beam trawl over 300kW'!$I$162:$K$162</c:f>
              <c:strCache>
                <c:ptCount val="3"/>
                <c:pt idx="0">
                  <c:v>Most
profitable
quartile</c:v>
                </c:pt>
                <c:pt idx="1">
                  <c:v>Middle 
two quartiles</c:v>
                </c:pt>
                <c:pt idx="2">
                  <c:v>Least
profitable
quartile</c:v>
                </c:pt>
              </c:strCache>
            </c:strRef>
          </c:cat>
          <c:val>
            <c:numRef>
              <c:f>'NS beam trawl over 300kW'!$I$169:$K$169</c:f>
              <c:numCache>
                <c:formatCode>0%</c:formatCode>
                <c:ptCount val="3"/>
                <c:pt idx="0">
                  <c:v>0</c:v>
                </c:pt>
                <c:pt idx="1">
                  <c:v>0</c:v>
                </c:pt>
                <c:pt idx="2">
                  <c:v>0</c:v>
                </c:pt>
              </c:numCache>
            </c:numRef>
          </c:val>
          <c:extLst>
            <c:ext xmlns:c16="http://schemas.microsoft.com/office/drawing/2014/chart" uri="{C3380CC4-5D6E-409C-BE32-E72D297353CC}">
              <c16:uniqueId val="{00000006-5C34-41FD-8FA4-31FF00B181C6}"/>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demersal trawl'!$K$140</c:f>
              <c:strCache>
                <c:ptCount val="1"/>
                <c:pt idx="0">
                  <c:v>Total income</c:v>
                </c:pt>
              </c:strCache>
            </c:strRef>
          </c:tx>
          <c:spPr>
            <a:solidFill>
              <a:srgbClr val="087CBB"/>
            </a:solidFill>
            <a:ln>
              <a:solidFill>
                <a:schemeClr val="accent1"/>
              </a:solidFill>
            </a:ln>
          </c:spPr>
          <c:invertIfNegative val="0"/>
          <c:cat>
            <c:strRef>
              <c:f>'Area VIIa demersal trawl'!$L$139:$N$139</c:f>
              <c:strCache>
                <c:ptCount val="3"/>
                <c:pt idx="0">
                  <c:v>Most
profitable
quartile</c:v>
                </c:pt>
                <c:pt idx="1">
                  <c:v>Middle
two quartiles</c:v>
                </c:pt>
                <c:pt idx="2">
                  <c:v>Least
profitable
quartile</c:v>
                </c:pt>
              </c:strCache>
            </c:strRef>
          </c:cat>
          <c:val>
            <c:numRef>
              <c:f>'Area VIIa demersal trawl'!$L$140:$N$140</c:f>
              <c:numCache>
                <c:formatCode>#,##0</c:formatCode>
                <c:ptCount val="3"/>
                <c:pt idx="0">
                  <c:v>0</c:v>
                </c:pt>
                <c:pt idx="1">
                  <c:v>0</c:v>
                </c:pt>
                <c:pt idx="2">
                  <c:v>0</c:v>
                </c:pt>
              </c:numCache>
            </c:numRef>
          </c:val>
          <c:extLst>
            <c:ext xmlns:c16="http://schemas.microsoft.com/office/drawing/2014/chart" uri="{C3380CC4-5D6E-409C-BE32-E72D297353CC}">
              <c16:uniqueId val="{00000000-524A-45D9-A984-71F051CBC420}"/>
            </c:ext>
          </c:extLst>
        </c:ser>
        <c:ser>
          <c:idx val="1"/>
          <c:order val="1"/>
          <c:tx>
            <c:strRef>
              <c:f>'Area VIIa demersal trawl'!$K$141</c:f>
              <c:strCache>
                <c:ptCount val="1"/>
                <c:pt idx="0">
                  <c:v>Operating costs</c:v>
                </c:pt>
              </c:strCache>
            </c:strRef>
          </c:tx>
          <c:spPr>
            <a:solidFill>
              <a:srgbClr val="E87308"/>
            </a:solidFill>
          </c:spPr>
          <c:invertIfNegative val="0"/>
          <c:cat>
            <c:strRef>
              <c:f>'Area VIIa demersal trawl'!$L$139:$N$139</c:f>
              <c:strCache>
                <c:ptCount val="3"/>
                <c:pt idx="0">
                  <c:v>Most
profitable
quartile</c:v>
                </c:pt>
                <c:pt idx="1">
                  <c:v>Middle
two quartiles</c:v>
                </c:pt>
                <c:pt idx="2">
                  <c:v>Least
profitable
quartile</c:v>
                </c:pt>
              </c:strCache>
            </c:strRef>
          </c:cat>
          <c:val>
            <c:numRef>
              <c:f>'Area VIIa demersal trawl'!$L$141:$N$141</c:f>
              <c:numCache>
                <c:formatCode>#,##0</c:formatCode>
                <c:ptCount val="3"/>
                <c:pt idx="0">
                  <c:v>0</c:v>
                </c:pt>
                <c:pt idx="1">
                  <c:v>0</c:v>
                </c:pt>
                <c:pt idx="2">
                  <c:v>0</c:v>
                </c:pt>
              </c:numCache>
            </c:numRef>
          </c:val>
          <c:extLst>
            <c:ext xmlns:c16="http://schemas.microsoft.com/office/drawing/2014/chart" uri="{C3380CC4-5D6E-409C-BE32-E72D297353CC}">
              <c16:uniqueId val="{00000001-524A-45D9-A984-71F051CBC420}"/>
            </c:ext>
          </c:extLst>
        </c:ser>
        <c:ser>
          <c:idx val="2"/>
          <c:order val="2"/>
          <c:tx>
            <c:strRef>
              <c:f>'Area VIIa demersal trawl'!$K$142</c:f>
              <c:strCache>
                <c:ptCount val="1"/>
                <c:pt idx="0">
                  <c:v>Operating profit</c:v>
                </c:pt>
              </c:strCache>
            </c:strRef>
          </c:tx>
          <c:spPr>
            <a:solidFill>
              <a:srgbClr val="51AA81"/>
            </a:solidFill>
          </c:spPr>
          <c:invertIfNegative val="0"/>
          <c:cat>
            <c:strRef>
              <c:f>'Area VIIa demersal trawl'!$L$139:$N$139</c:f>
              <c:strCache>
                <c:ptCount val="3"/>
                <c:pt idx="0">
                  <c:v>Most
profitable
quartile</c:v>
                </c:pt>
                <c:pt idx="1">
                  <c:v>Middle
two quartiles</c:v>
                </c:pt>
                <c:pt idx="2">
                  <c:v>Least
profitable
quartile</c:v>
                </c:pt>
              </c:strCache>
            </c:strRef>
          </c:cat>
          <c:val>
            <c:numRef>
              <c:f>'Area VIIa demersal trawl'!$L$142:$N$142</c:f>
              <c:numCache>
                <c:formatCode>#,##0</c:formatCode>
                <c:ptCount val="3"/>
                <c:pt idx="0">
                  <c:v>0</c:v>
                </c:pt>
                <c:pt idx="1">
                  <c:v>0</c:v>
                </c:pt>
                <c:pt idx="2">
                  <c:v>0</c:v>
                </c:pt>
              </c:numCache>
            </c:numRef>
          </c:val>
          <c:extLst>
            <c:ext xmlns:c16="http://schemas.microsoft.com/office/drawing/2014/chart" uri="{C3380CC4-5D6E-409C-BE32-E72D297353CC}">
              <c16:uniqueId val="{00000002-524A-45D9-A984-71F051CBC420}"/>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demersal trawl'!$K$143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over 300kW'!$K$140</c:f>
              <c:strCache>
                <c:ptCount val="1"/>
                <c:pt idx="0">
                  <c:v>Total income</c:v>
                </c:pt>
              </c:strCache>
            </c:strRef>
          </c:tx>
          <c:spPr>
            <a:solidFill>
              <a:srgbClr val="087CBB"/>
            </a:solidFill>
            <a:ln>
              <a:solidFill>
                <a:schemeClr val="accent1"/>
              </a:solidFill>
            </a:ln>
          </c:spPr>
          <c:invertIfNegative val="0"/>
          <c:cat>
            <c:strRef>
              <c:f>'NS beam trawl over 300kW'!$L$139:$N$139</c:f>
              <c:strCache>
                <c:ptCount val="3"/>
                <c:pt idx="0">
                  <c:v>Most
profitable
quartile</c:v>
                </c:pt>
                <c:pt idx="1">
                  <c:v>Middle
two quartiles</c:v>
                </c:pt>
                <c:pt idx="2">
                  <c:v>Least
profitable
quartile</c:v>
                </c:pt>
              </c:strCache>
            </c:strRef>
          </c:cat>
          <c:val>
            <c:numRef>
              <c:f>'NS beam trawl over 300kW'!$L$140:$N$140</c:f>
              <c:numCache>
                <c:formatCode>#,##0</c:formatCode>
                <c:ptCount val="3"/>
                <c:pt idx="0">
                  <c:v>0</c:v>
                </c:pt>
                <c:pt idx="1">
                  <c:v>0</c:v>
                </c:pt>
                <c:pt idx="2">
                  <c:v>0</c:v>
                </c:pt>
              </c:numCache>
            </c:numRef>
          </c:val>
          <c:extLst>
            <c:ext xmlns:c16="http://schemas.microsoft.com/office/drawing/2014/chart" uri="{C3380CC4-5D6E-409C-BE32-E72D297353CC}">
              <c16:uniqueId val="{00000000-B1E3-40AB-99D3-9AD89F10D86A}"/>
            </c:ext>
          </c:extLst>
        </c:ser>
        <c:ser>
          <c:idx val="1"/>
          <c:order val="1"/>
          <c:tx>
            <c:strRef>
              <c:f>'NS beam trawl over 300kW'!$K$141</c:f>
              <c:strCache>
                <c:ptCount val="1"/>
                <c:pt idx="0">
                  <c:v>Operating costs</c:v>
                </c:pt>
              </c:strCache>
            </c:strRef>
          </c:tx>
          <c:spPr>
            <a:solidFill>
              <a:srgbClr val="E87308"/>
            </a:solidFill>
          </c:spPr>
          <c:invertIfNegative val="0"/>
          <c:cat>
            <c:strRef>
              <c:f>'NS beam trawl over 300kW'!$L$139:$N$139</c:f>
              <c:strCache>
                <c:ptCount val="3"/>
                <c:pt idx="0">
                  <c:v>Most
profitable
quartile</c:v>
                </c:pt>
                <c:pt idx="1">
                  <c:v>Middle
two quartiles</c:v>
                </c:pt>
                <c:pt idx="2">
                  <c:v>Least
profitable
quartile</c:v>
                </c:pt>
              </c:strCache>
            </c:strRef>
          </c:cat>
          <c:val>
            <c:numRef>
              <c:f>'NS beam trawl over 300kW'!$L$141:$N$141</c:f>
              <c:numCache>
                <c:formatCode>#,##0</c:formatCode>
                <c:ptCount val="3"/>
                <c:pt idx="0">
                  <c:v>0</c:v>
                </c:pt>
                <c:pt idx="1">
                  <c:v>0</c:v>
                </c:pt>
                <c:pt idx="2">
                  <c:v>0</c:v>
                </c:pt>
              </c:numCache>
            </c:numRef>
          </c:val>
          <c:extLst>
            <c:ext xmlns:c16="http://schemas.microsoft.com/office/drawing/2014/chart" uri="{C3380CC4-5D6E-409C-BE32-E72D297353CC}">
              <c16:uniqueId val="{00000001-B1E3-40AB-99D3-9AD89F10D86A}"/>
            </c:ext>
          </c:extLst>
        </c:ser>
        <c:ser>
          <c:idx val="2"/>
          <c:order val="2"/>
          <c:tx>
            <c:strRef>
              <c:f>'NS beam trawl over 300kW'!$K$142</c:f>
              <c:strCache>
                <c:ptCount val="1"/>
                <c:pt idx="0">
                  <c:v>Operating profit</c:v>
                </c:pt>
              </c:strCache>
            </c:strRef>
          </c:tx>
          <c:spPr>
            <a:solidFill>
              <a:srgbClr val="51AA81"/>
            </a:solidFill>
          </c:spPr>
          <c:invertIfNegative val="0"/>
          <c:cat>
            <c:strRef>
              <c:f>'NS beam trawl over 300kW'!$L$139:$N$139</c:f>
              <c:strCache>
                <c:ptCount val="3"/>
                <c:pt idx="0">
                  <c:v>Most
profitable
quartile</c:v>
                </c:pt>
                <c:pt idx="1">
                  <c:v>Middle
two quartiles</c:v>
                </c:pt>
                <c:pt idx="2">
                  <c:v>Least
profitable
quartile</c:v>
                </c:pt>
              </c:strCache>
            </c:strRef>
          </c:cat>
          <c:val>
            <c:numRef>
              <c:f>'NS beam trawl over 300kW'!$L$142:$N$142</c:f>
              <c:numCache>
                <c:formatCode>#,##0</c:formatCode>
                <c:ptCount val="3"/>
                <c:pt idx="0">
                  <c:v>0</c:v>
                </c:pt>
                <c:pt idx="1">
                  <c:v>0</c:v>
                </c:pt>
                <c:pt idx="2">
                  <c:v>0</c:v>
                </c:pt>
              </c:numCache>
            </c:numRef>
          </c:val>
          <c:extLst>
            <c:ext xmlns:c16="http://schemas.microsoft.com/office/drawing/2014/chart" uri="{C3380CC4-5D6E-409C-BE32-E72D297353CC}">
              <c16:uniqueId val="{00000002-B1E3-40AB-99D3-9AD89F10D86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beam trawl over 300kW'!$K$143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300kW'!$A$49</c:f>
          <c:strCache>
            <c:ptCount val="1"/>
            <c:pt idx="0">
              <c:v>Landings per kW day at sea (kg)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D8E-42C7-AF47-0E6DB5D1BF99}"/>
              </c:ext>
            </c:extLst>
          </c:dPt>
          <c:dPt>
            <c:idx val="10"/>
            <c:bubble3D val="0"/>
            <c:spPr>
              <a:ln w="57150">
                <a:solidFill>
                  <a:srgbClr val="2273B9"/>
                </a:solidFill>
                <a:prstDash val="sysDot"/>
              </a:ln>
            </c:spPr>
            <c:extLst>
              <c:ext xmlns:c16="http://schemas.microsoft.com/office/drawing/2014/chart" uri="{C3380CC4-5D6E-409C-BE32-E72D297353CC}">
                <c16:uniqueId val="{00000003-0D8E-42C7-AF47-0E6DB5D1BF99}"/>
              </c:ext>
            </c:extLst>
          </c:dPt>
          <c:cat>
            <c:numRef>
              <c:f>'NS beam trawl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under 300kW'!$D$22:$N$22</c:f>
              <c:numCache>
                <c:formatCode>#,##0.00</c:formatCode>
                <c:ptCount val="11"/>
                <c:pt idx="0">
                  <c:v>3.9223019947286133</c:v>
                </c:pt>
                <c:pt idx="1">
                  <c:v>2.7202065528924475</c:v>
                </c:pt>
                <c:pt idx="2">
                  <c:v>3.242810071527813</c:v>
                </c:pt>
                <c:pt idx="3">
                  <c:v>3.3062912062321512</c:v>
                </c:pt>
                <c:pt idx="4">
                  <c:v>2.1382350529235601</c:v>
                </c:pt>
                <c:pt idx="5">
                  <c:v>1.135690138187911</c:v>
                </c:pt>
                <c:pt idx="6">
                  <c:v>2.3021595816806091</c:v>
                </c:pt>
                <c:pt idx="7">
                  <c:v>1.9644930464613135</c:v>
                </c:pt>
                <c:pt idx="8">
                  <c:v>3.0651678096695165</c:v>
                </c:pt>
                <c:pt idx="9">
                  <c:v>1.6164181437961793</c:v>
                </c:pt>
                <c:pt idx="10">
                  <c:v>1.1432706219158124</c:v>
                </c:pt>
              </c:numCache>
            </c:numRef>
          </c:val>
          <c:smooth val="0"/>
          <c:extLst>
            <c:ext xmlns:c16="http://schemas.microsoft.com/office/drawing/2014/chart" uri="{C3380CC4-5D6E-409C-BE32-E72D297353CC}">
              <c16:uniqueId val="{00000004-0D8E-42C7-AF47-0E6DB5D1BF9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300kW'!$A$50</c:f>
          <c:strCache>
            <c:ptCount val="1"/>
            <c:pt idx="0">
              <c:v>Fishing income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1B3-4ADA-9E3E-E33057510D36}"/>
              </c:ext>
            </c:extLst>
          </c:dPt>
          <c:dPt>
            <c:idx val="10"/>
            <c:bubble3D val="0"/>
            <c:spPr>
              <a:ln w="57150">
                <a:solidFill>
                  <a:srgbClr val="648C2E"/>
                </a:solidFill>
                <a:prstDash val="sysDot"/>
              </a:ln>
            </c:spPr>
            <c:extLst>
              <c:ext xmlns:c16="http://schemas.microsoft.com/office/drawing/2014/chart" uri="{C3380CC4-5D6E-409C-BE32-E72D297353CC}">
                <c16:uniqueId val="{00000003-21B3-4ADA-9E3E-E33057510D36}"/>
              </c:ext>
            </c:extLst>
          </c:dPt>
          <c:cat>
            <c:numRef>
              <c:f>'NS beam trawl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under 300kW'!$D$23:$N$23</c:f>
              <c:numCache>
                <c:formatCode>#,##0.00</c:formatCode>
                <c:ptCount val="11"/>
                <c:pt idx="0">
                  <c:v>8.22262558853547</c:v>
                </c:pt>
                <c:pt idx="1">
                  <c:v>6.2842104779005803</c:v>
                </c:pt>
                <c:pt idx="2">
                  <c:v>3.5633848437792102</c:v>
                </c:pt>
                <c:pt idx="3">
                  <c:v>4.5933097270776804</c:v>
                </c:pt>
                <c:pt idx="4">
                  <c:v>7.3383613658347402</c:v>
                </c:pt>
                <c:pt idx="5">
                  <c:v>5.3509821079921496</c:v>
                </c:pt>
                <c:pt idx="6">
                  <c:v>5.9950965385319401</c:v>
                </c:pt>
                <c:pt idx="7">
                  <c:v>3.95740577678743</c:v>
                </c:pt>
                <c:pt idx="8">
                  <c:v>6.7945865549215299</c:v>
                </c:pt>
                <c:pt idx="9">
                  <c:v>4.2827949816408601</c:v>
                </c:pt>
                <c:pt idx="10">
                  <c:v>4.3677330759732751</c:v>
                </c:pt>
              </c:numCache>
            </c:numRef>
          </c:val>
          <c:smooth val="0"/>
          <c:extLst>
            <c:ext xmlns:c16="http://schemas.microsoft.com/office/drawing/2014/chart" uri="{C3380CC4-5D6E-409C-BE32-E72D297353CC}">
              <c16:uniqueId val="{00000004-21B3-4ADA-9E3E-E33057510D3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300kW'!$B$63</c:f>
          <c:strCache>
            <c:ptCount val="1"/>
            <c:pt idx="0">
              <c:v>Total cost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993F-4BCC-8442-40206C48510B}"/>
              </c:ext>
            </c:extLst>
          </c:dPt>
          <c:dPt>
            <c:idx val="10"/>
            <c:bubble3D val="0"/>
            <c:spPr>
              <a:ln w="57150">
                <a:solidFill>
                  <a:srgbClr val="087CBB"/>
                </a:solidFill>
                <a:prstDash val="sysDot"/>
              </a:ln>
            </c:spPr>
            <c:extLst>
              <c:ext xmlns:c16="http://schemas.microsoft.com/office/drawing/2014/chart" uri="{C3380CC4-5D6E-409C-BE32-E72D297353CC}">
                <c16:uniqueId val="{00000003-993F-4BCC-8442-40206C48510B}"/>
              </c:ext>
            </c:extLst>
          </c:dPt>
          <c:cat>
            <c:numRef>
              <c:f>'NS beam trawl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under 300kW'!$D$24:$N$24</c:f>
              <c:numCache>
                <c:formatCode>#,##0.00</c:formatCode>
                <c:ptCount val="11"/>
                <c:pt idx="0">
                  <c:v>8.4991709359034093</c:v>
                </c:pt>
                <c:pt idx="1">
                  <c:v>6.6161473806289903</c:v>
                </c:pt>
                <c:pt idx="2">
                  <c:v>3.91937425845697</c:v>
                </c:pt>
                <c:pt idx="3">
                  <c:v>4.7763401735053499</c:v>
                </c:pt>
                <c:pt idx="4">
                  <c:v>7.4241319061175002</c:v>
                </c:pt>
                <c:pt idx="5">
                  <c:v>5.5518194922380397</c:v>
                </c:pt>
                <c:pt idx="6">
                  <c:v>6.2836002415726204</c:v>
                </c:pt>
                <c:pt idx="7">
                  <c:v>5.4215543835058497</c:v>
                </c:pt>
                <c:pt idx="8">
                  <c:v>6.92230846659763</c:v>
                </c:pt>
                <c:pt idx="9">
                  <c:v>4.3884886233962899</c:v>
                </c:pt>
                <c:pt idx="10">
                  <c:v>6.7624299356762538</c:v>
                </c:pt>
              </c:numCache>
            </c:numRef>
          </c:val>
          <c:smooth val="0"/>
          <c:extLst>
            <c:ext xmlns:c16="http://schemas.microsoft.com/office/drawing/2014/chart" uri="{C3380CC4-5D6E-409C-BE32-E72D297353CC}">
              <c16:uniqueId val="{00000004-993F-4BCC-8442-40206C48510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300kW'!$K$49</c:f>
          <c:strCache>
            <c:ptCount val="1"/>
            <c:pt idx="0">
              <c:v>Operating profit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1A78-454E-B9E4-E7851A8CE903}"/>
              </c:ext>
            </c:extLst>
          </c:dPt>
          <c:dPt>
            <c:idx val="10"/>
            <c:bubble3D val="0"/>
            <c:spPr>
              <a:ln w="57150">
                <a:solidFill>
                  <a:schemeClr val="accent3"/>
                </a:solidFill>
                <a:prstDash val="sysDot"/>
              </a:ln>
            </c:spPr>
            <c:extLst>
              <c:ext xmlns:c16="http://schemas.microsoft.com/office/drawing/2014/chart" uri="{C3380CC4-5D6E-409C-BE32-E72D297353CC}">
                <c16:uniqueId val="{00000003-1A78-454E-B9E4-E7851A8CE903}"/>
              </c:ext>
            </c:extLst>
          </c:dPt>
          <c:cat>
            <c:numRef>
              <c:f>'NS beam trawl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beam trawl under 300kW'!$D$25:$N$25</c:f>
              <c:numCache>
                <c:formatCode>#,##0.00</c:formatCode>
                <c:ptCount val="11"/>
                <c:pt idx="0">
                  <c:v>-9.6418255813379095E-2</c:v>
                </c:pt>
                <c:pt idx="1">
                  <c:v>-0.194273274212239</c:v>
                </c:pt>
                <c:pt idx="2">
                  <c:v>-0.27792893698737298</c:v>
                </c:pt>
                <c:pt idx="3">
                  <c:v>-8.2408146752639494E-2</c:v>
                </c:pt>
                <c:pt idx="4">
                  <c:v>7.4985617497580107E-2</c:v>
                </c:pt>
                <c:pt idx="5">
                  <c:v>-8.3617301035722597E-2</c:v>
                </c:pt>
                <c:pt idx="6">
                  <c:v>-0.28850370304067702</c:v>
                </c:pt>
                <c:pt idx="7">
                  <c:v>-1.46414860671842</c:v>
                </c:pt>
                <c:pt idx="8">
                  <c:v>0.44334186194457098</c:v>
                </c:pt>
                <c:pt idx="9">
                  <c:v>-0.105693641755431</c:v>
                </c:pt>
                <c:pt idx="10">
                  <c:v>-2.3946968597029783</c:v>
                </c:pt>
              </c:numCache>
            </c:numRef>
          </c:val>
          <c:smooth val="0"/>
          <c:extLst>
            <c:ext xmlns:c16="http://schemas.microsoft.com/office/drawing/2014/chart" uri="{C3380CC4-5D6E-409C-BE32-E72D297353CC}">
              <c16:uniqueId val="{00000004-1A78-454E-B9E4-E7851A8CE903}"/>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300kW'!$A$51</c:f>
          <c:strCache>
            <c:ptCount val="1"/>
            <c:pt idx="0">
              <c:v>Average price per tonne landed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E74-4D57-A589-918255B3F306}"/>
              </c:ext>
            </c:extLst>
          </c:dPt>
          <c:dPt>
            <c:idx val="10"/>
            <c:bubble3D val="0"/>
            <c:spPr>
              <a:ln w="57150">
                <a:solidFill>
                  <a:schemeClr val="accent4"/>
                </a:solidFill>
                <a:prstDash val="sysDot"/>
              </a:ln>
            </c:spPr>
            <c:extLst>
              <c:ext xmlns:c16="http://schemas.microsoft.com/office/drawing/2014/chart" uri="{C3380CC4-5D6E-409C-BE32-E72D297353CC}">
                <c16:uniqueId val="{00000003-AE74-4D57-A589-918255B3F306}"/>
              </c:ext>
            </c:extLst>
          </c:dPt>
          <c:cat>
            <c:numRef>
              <c:f>'NS beam trawl under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300kW'!$D$21:$N$21</c:f>
              <c:numCache>
                <c:formatCode>#,##0</c:formatCode>
                <c:ptCount val="11"/>
                <c:pt idx="0">
                  <c:v>2096</c:v>
                </c:pt>
                <c:pt idx="1">
                  <c:v>2310</c:v>
                </c:pt>
                <c:pt idx="2">
                  <c:v>1099</c:v>
                </c:pt>
                <c:pt idx="3">
                  <c:v>1389</c:v>
                </c:pt>
                <c:pt idx="4">
                  <c:v>3432</c:v>
                </c:pt>
                <c:pt idx="5">
                  <c:v>4712</c:v>
                </c:pt>
                <c:pt idx="6">
                  <c:v>2604</c:v>
                </c:pt>
                <c:pt idx="7">
                  <c:v>2014</c:v>
                </c:pt>
                <c:pt idx="8">
                  <c:v>2217</c:v>
                </c:pt>
                <c:pt idx="9">
                  <c:v>2650</c:v>
                </c:pt>
                <c:pt idx="10">
                  <c:v>3820</c:v>
                </c:pt>
              </c:numCache>
            </c:numRef>
          </c:val>
          <c:smooth val="0"/>
          <c:extLst>
            <c:ext xmlns:c16="http://schemas.microsoft.com/office/drawing/2014/chart" uri="{C3380CC4-5D6E-409C-BE32-E72D297353CC}">
              <c16:uniqueId val="{00000004-AE74-4D57-A589-918255B3F30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300kW'!$K$63</c:f>
          <c:strCache>
            <c:ptCount val="1"/>
            <c:pt idx="0">
              <c:v>Average annual operating profit per vessel (£'000)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AF8-4E91-87E6-CA9E2EB1FD43}"/>
              </c:ext>
            </c:extLst>
          </c:dPt>
          <c:dPt>
            <c:idx val="10"/>
            <c:bubble3D val="0"/>
            <c:spPr>
              <a:ln w="57150">
                <a:solidFill>
                  <a:schemeClr val="accent5"/>
                </a:solidFill>
                <a:prstDash val="sysDot"/>
              </a:ln>
            </c:spPr>
            <c:extLst>
              <c:ext xmlns:c16="http://schemas.microsoft.com/office/drawing/2014/chart" uri="{C3380CC4-5D6E-409C-BE32-E72D297353CC}">
                <c16:uniqueId val="{00000003-6AF8-4E91-87E6-CA9E2EB1FD43}"/>
              </c:ext>
            </c:extLst>
          </c:dPt>
          <c:cat>
            <c:numRef>
              <c:f>'NS beam trawl under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300kW'!$D$38:$N$38</c:f>
              <c:numCache>
                <c:formatCode>#,##0.0</c:formatCode>
                <c:ptCount val="11"/>
                <c:pt idx="0">
                  <c:v>-1.6</c:v>
                </c:pt>
                <c:pt idx="1">
                  <c:v>-4.4000000000000004</c:v>
                </c:pt>
                <c:pt idx="2">
                  <c:v>-6.1</c:v>
                </c:pt>
                <c:pt idx="3">
                  <c:v>-2.1</c:v>
                </c:pt>
                <c:pt idx="4">
                  <c:v>1.3</c:v>
                </c:pt>
                <c:pt idx="5">
                  <c:v>-1.7</c:v>
                </c:pt>
                <c:pt idx="6">
                  <c:v>-5.6</c:v>
                </c:pt>
                <c:pt idx="7">
                  <c:v>-19.100000000000001</c:v>
                </c:pt>
                <c:pt idx="8">
                  <c:v>6.8</c:v>
                </c:pt>
                <c:pt idx="9">
                  <c:v>-1.6</c:v>
                </c:pt>
                <c:pt idx="10">
                  <c:v>-30.7</c:v>
                </c:pt>
              </c:numCache>
            </c:numRef>
          </c:val>
          <c:smooth val="0"/>
          <c:extLst>
            <c:ext xmlns:c16="http://schemas.microsoft.com/office/drawing/2014/chart" uri="{C3380CC4-5D6E-409C-BE32-E72D297353CC}">
              <c16:uniqueId val="{00000004-6AF8-4E91-87E6-CA9E2EB1FD4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300kW'!$A$77</c:f>
          <c:strCache>
            <c:ptCount val="1"/>
            <c:pt idx="0">
              <c:v>Top 5 landed species by volume in 2021
North Sea beam trawl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311-44BF-83C7-75DDB3C7A370}"/>
              </c:ext>
            </c:extLst>
          </c:dPt>
          <c:dPt>
            <c:idx val="1"/>
            <c:bubble3D val="0"/>
            <c:spPr>
              <a:solidFill>
                <a:srgbClr val="E87308"/>
              </a:solidFill>
              <a:ln>
                <a:solidFill>
                  <a:srgbClr val="FFFFFF"/>
                </a:solidFill>
              </a:ln>
            </c:spPr>
            <c:extLst>
              <c:ext xmlns:c16="http://schemas.microsoft.com/office/drawing/2014/chart" uri="{C3380CC4-5D6E-409C-BE32-E72D297353CC}">
                <c16:uniqueId val="{00000003-B311-44BF-83C7-75DDB3C7A370}"/>
              </c:ext>
            </c:extLst>
          </c:dPt>
          <c:dPt>
            <c:idx val="2"/>
            <c:bubble3D val="0"/>
            <c:spPr>
              <a:solidFill>
                <a:srgbClr val="648C2E"/>
              </a:solidFill>
              <a:ln>
                <a:solidFill>
                  <a:srgbClr val="FFFFFF"/>
                </a:solidFill>
              </a:ln>
            </c:spPr>
            <c:extLst>
              <c:ext xmlns:c16="http://schemas.microsoft.com/office/drawing/2014/chart" uri="{C3380CC4-5D6E-409C-BE32-E72D297353CC}">
                <c16:uniqueId val="{00000005-B311-44BF-83C7-75DDB3C7A370}"/>
              </c:ext>
            </c:extLst>
          </c:dPt>
          <c:dPt>
            <c:idx val="3"/>
            <c:bubble3D val="0"/>
            <c:spPr>
              <a:solidFill>
                <a:srgbClr val="0F9AA9"/>
              </a:solidFill>
              <a:ln>
                <a:solidFill>
                  <a:srgbClr val="FFFFFF"/>
                </a:solidFill>
              </a:ln>
            </c:spPr>
            <c:extLst>
              <c:ext xmlns:c16="http://schemas.microsoft.com/office/drawing/2014/chart" uri="{C3380CC4-5D6E-409C-BE32-E72D297353CC}">
                <c16:uniqueId val="{00000007-B311-44BF-83C7-75DDB3C7A370}"/>
              </c:ext>
            </c:extLst>
          </c:dPt>
          <c:dPt>
            <c:idx val="4"/>
            <c:bubble3D val="0"/>
            <c:spPr>
              <a:solidFill>
                <a:srgbClr val="C1D119"/>
              </a:solidFill>
              <a:ln>
                <a:solidFill>
                  <a:srgbClr val="FFFFFF"/>
                </a:solidFill>
              </a:ln>
            </c:spPr>
            <c:extLst>
              <c:ext xmlns:c16="http://schemas.microsoft.com/office/drawing/2014/chart" uri="{C3380CC4-5D6E-409C-BE32-E72D297353CC}">
                <c16:uniqueId val="{00000009-B311-44BF-83C7-75DDB3C7A370}"/>
              </c:ext>
            </c:extLst>
          </c:dPt>
          <c:dPt>
            <c:idx val="5"/>
            <c:bubble3D val="0"/>
            <c:spPr>
              <a:solidFill>
                <a:srgbClr val="55585A"/>
              </a:solidFill>
              <a:ln>
                <a:solidFill>
                  <a:srgbClr val="FFFFFF"/>
                </a:solidFill>
              </a:ln>
            </c:spPr>
            <c:extLst>
              <c:ext xmlns:c16="http://schemas.microsoft.com/office/drawing/2014/chart" uri="{C3380CC4-5D6E-409C-BE32-E72D297353CC}">
                <c16:uniqueId val="{0000000B-B311-44BF-83C7-75DDB3C7A370}"/>
              </c:ext>
            </c:extLst>
          </c:dPt>
          <c:cat>
            <c:strRef>
              <c:f>'NS beam trawl under 300kW'!$B$78:$B$83</c:f>
              <c:strCache>
                <c:ptCount val="6"/>
                <c:pt idx="0">
                  <c:v>Brown Shrimps - 94.7%</c:v>
                </c:pt>
                <c:pt idx="1">
                  <c:v>Scallops - 5.1%</c:v>
                </c:pt>
                <c:pt idx="2">
                  <c:v>Sole - 0.1%</c:v>
                </c:pt>
                <c:pt idx="3">
                  <c:v>Dogfish - 0.0%</c:v>
                </c:pt>
                <c:pt idx="4">
                  <c:v>Thornback Ray - 0.0%</c:v>
                </c:pt>
                <c:pt idx="5">
                  <c:v>Others - 0.0%</c:v>
                </c:pt>
              </c:strCache>
            </c:strRef>
          </c:cat>
          <c:val>
            <c:numRef>
              <c:f>'NS beam trawl under 300kW'!$C$78:$C$83</c:f>
              <c:numCache>
                <c:formatCode>0.0%</c:formatCode>
                <c:ptCount val="6"/>
                <c:pt idx="0">
                  <c:v>0.94708553608827628</c:v>
                </c:pt>
                <c:pt idx="1">
                  <c:v>5.1036900181756113E-2</c:v>
                </c:pt>
                <c:pt idx="2">
                  <c:v>7.3525213759491456E-4</c:v>
                </c:pt>
                <c:pt idx="3">
                  <c:v>3.6278890976316347E-4</c:v>
                </c:pt>
                <c:pt idx="4">
                  <c:v>3.0474267699308956E-4</c:v>
                </c:pt>
                <c:pt idx="5">
                  <c:v>4.7478000561640421E-4</c:v>
                </c:pt>
              </c:numCache>
            </c:numRef>
          </c:val>
          <c:extLst>
            <c:ext xmlns:c16="http://schemas.microsoft.com/office/drawing/2014/chart" uri="{C3380CC4-5D6E-409C-BE32-E72D297353CC}">
              <c16:uniqueId val="{0000000C-B311-44BF-83C7-75DDB3C7A37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300kW'!$F$77</c:f>
          <c:strCache>
            <c:ptCount val="1"/>
            <c:pt idx="0">
              <c:v>Top 5 landed species by value in 2021
North Sea beam trawl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AD62-47C6-B030-80309FD65A35}"/>
              </c:ext>
            </c:extLst>
          </c:dPt>
          <c:dPt>
            <c:idx val="1"/>
            <c:bubble3D val="0"/>
            <c:spPr>
              <a:solidFill>
                <a:srgbClr val="E87308"/>
              </a:solidFill>
              <a:ln>
                <a:solidFill>
                  <a:srgbClr val="FFFFFF"/>
                </a:solidFill>
              </a:ln>
            </c:spPr>
            <c:extLst>
              <c:ext xmlns:c16="http://schemas.microsoft.com/office/drawing/2014/chart" uri="{C3380CC4-5D6E-409C-BE32-E72D297353CC}">
                <c16:uniqueId val="{00000003-AD62-47C6-B030-80309FD65A35}"/>
              </c:ext>
            </c:extLst>
          </c:dPt>
          <c:dPt>
            <c:idx val="2"/>
            <c:bubble3D val="0"/>
            <c:spPr>
              <a:solidFill>
                <a:srgbClr val="648C2E"/>
              </a:solidFill>
              <a:ln>
                <a:solidFill>
                  <a:srgbClr val="FFFFFF"/>
                </a:solidFill>
              </a:ln>
            </c:spPr>
            <c:extLst>
              <c:ext xmlns:c16="http://schemas.microsoft.com/office/drawing/2014/chart" uri="{C3380CC4-5D6E-409C-BE32-E72D297353CC}">
                <c16:uniqueId val="{00000005-AD62-47C6-B030-80309FD65A35}"/>
              </c:ext>
            </c:extLst>
          </c:dPt>
          <c:dPt>
            <c:idx val="3"/>
            <c:bubble3D val="0"/>
            <c:spPr>
              <a:solidFill>
                <a:srgbClr val="C1D119"/>
              </a:solidFill>
              <a:ln>
                <a:solidFill>
                  <a:srgbClr val="FFFFFF"/>
                </a:solidFill>
              </a:ln>
            </c:spPr>
            <c:extLst>
              <c:ext xmlns:c16="http://schemas.microsoft.com/office/drawing/2014/chart" uri="{C3380CC4-5D6E-409C-BE32-E72D297353CC}">
                <c16:uniqueId val="{00000007-AD62-47C6-B030-80309FD65A35}"/>
              </c:ext>
            </c:extLst>
          </c:dPt>
          <c:dPt>
            <c:idx val="4"/>
            <c:bubble3D val="0"/>
            <c:spPr>
              <a:solidFill>
                <a:srgbClr val="E84A38"/>
              </a:solidFill>
              <a:ln>
                <a:solidFill>
                  <a:srgbClr val="FFFFFF"/>
                </a:solidFill>
              </a:ln>
            </c:spPr>
            <c:extLst>
              <c:ext xmlns:c16="http://schemas.microsoft.com/office/drawing/2014/chart" uri="{C3380CC4-5D6E-409C-BE32-E72D297353CC}">
                <c16:uniqueId val="{00000009-AD62-47C6-B030-80309FD65A35}"/>
              </c:ext>
            </c:extLst>
          </c:dPt>
          <c:dPt>
            <c:idx val="5"/>
            <c:bubble3D val="0"/>
            <c:spPr>
              <a:solidFill>
                <a:srgbClr val="55585A"/>
              </a:solidFill>
              <a:ln>
                <a:solidFill>
                  <a:srgbClr val="FFFFFF"/>
                </a:solidFill>
              </a:ln>
            </c:spPr>
            <c:extLst>
              <c:ext xmlns:c16="http://schemas.microsoft.com/office/drawing/2014/chart" uri="{C3380CC4-5D6E-409C-BE32-E72D297353CC}">
                <c16:uniqueId val="{0000000B-AD62-47C6-B030-80309FD65A35}"/>
              </c:ext>
            </c:extLst>
          </c:dPt>
          <c:cat>
            <c:strRef>
              <c:f>'NS beam trawl under 300kW'!$G$78:$G$83</c:f>
              <c:strCache>
                <c:ptCount val="6"/>
                <c:pt idx="0">
                  <c:v>Brown Shrimps - 96.4%</c:v>
                </c:pt>
                <c:pt idx="1">
                  <c:v>Scallops - 3.3%</c:v>
                </c:pt>
                <c:pt idx="2">
                  <c:v>Sole - 0.1%</c:v>
                </c:pt>
                <c:pt idx="3">
                  <c:v>Thornback Ray - 0.0%</c:v>
                </c:pt>
                <c:pt idx="4">
                  <c:v>Blonde Ray - 0.0%</c:v>
                </c:pt>
                <c:pt idx="5">
                  <c:v>Others - 0.0%</c:v>
                </c:pt>
              </c:strCache>
            </c:strRef>
          </c:cat>
          <c:val>
            <c:numRef>
              <c:f>'NS beam trawl under 300kW'!$H$78:$H$83</c:f>
              <c:numCache>
                <c:formatCode>0.0%</c:formatCode>
                <c:ptCount val="6"/>
                <c:pt idx="0">
                  <c:v>0.96446826445051159</c:v>
                </c:pt>
                <c:pt idx="1">
                  <c:v>3.337957268002708E-2</c:v>
                </c:pt>
                <c:pt idx="2">
                  <c:v>1.3509893978359705E-3</c:v>
                </c:pt>
                <c:pt idx="3">
                  <c:v>2.4849486492599339E-4</c:v>
                </c:pt>
                <c:pt idx="4">
                  <c:v>1.4889161747037903E-4</c:v>
                </c:pt>
                <c:pt idx="5">
                  <c:v>4.037869892290491E-4</c:v>
                </c:pt>
              </c:numCache>
            </c:numRef>
          </c:val>
          <c:extLst>
            <c:ext xmlns:c16="http://schemas.microsoft.com/office/drawing/2014/chart" uri="{C3380CC4-5D6E-409C-BE32-E72D297353CC}">
              <c16:uniqueId val="{0000000C-AD62-47C6-B030-80309FD65A3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under 300kW'!$C$93</c:f>
              <c:strCache>
                <c:ptCount val="1"/>
                <c:pt idx="0">
                  <c:v>Brown Shrimps</c:v>
                </c:pt>
              </c:strCache>
            </c:strRef>
          </c:tx>
          <c:spPr>
            <a:solidFill>
              <a:srgbClr val="2273B9"/>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300kW'!$D$93:$M$93</c:f>
              <c:numCache>
                <c:formatCode>0%</c:formatCode>
                <c:ptCount val="10"/>
                <c:pt idx="0">
                  <c:v>0.86021385990708921</c:v>
                </c:pt>
                <c:pt idx="1">
                  <c:v>0.82549123139680181</c:v>
                </c:pt>
                <c:pt idx="2">
                  <c:v>0.58752159006386417</c:v>
                </c:pt>
                <c:pt idx="3">
                  <c:v>0.90840680058110945</c:v>
                </c:pt>
                <c:pt idx="4">
                  <c:v>0.97769173198062409</c:v>
                </c:pt>
                <c:pt idx="5">
                  <c:v>0.99662054785034349</c:v>
                </c:pt>
                <c:pt idx="6">
                  <c:v>0.82312479124538529</c:v>
                </c:pt>
                <c:pt idx="7">
                  <c:v>0.96993800644128869</c:v>
                </c:pt>
                <c:pt idx="8">
                  <c:v>0.96446826445051159</c:v>
                </c:pt>
                <c:pt idx="9">
                  <c:v>0.90041570624598533</c:v>
                </c:pt>
              </c:numCache>
            </c:numRef>
          </c:val>
          <c:extLst>
            <c:ext xmlns:c16="http://schemas.microsoft.com/office/drawing/2014/chart" uri="{C3380CC4-5D6E-409C-BE32-E72D297353CC}">
              <c16:uniqueId val="{00000000-36BA-428C-85B7-24702D35FB39}"/>
            </c:ext>
          </c:extLst>
        </c:ser>
        <c:ser>
          <c:idx val="1"/>
          <c:order val="1"/>
          <c:tx>
            <c:strRef>
              <c:f>'NS beam trawl under 300kW'!$C$94</c:f>
              <c:strCache>
                <c:ptCount val="1"/>
                <c:pt idx="0">
                  <c:v>Scallops</c:v>
                </c:pt>
              </c:strCache>
            </c:strRef>
          </c:tx>
          <c:spPr>
            <a:solidFill>
              <a:srgbClr val="E87308"/>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300kW'!$D$94:$M$94</c:f>
              <c:numCache>
                <c:formatCode>0%</c:formatCode>
                <c:ptCount val="10"/>
                <c:pt idx="1">
                  <c:v>6.1941782503634338E-3</c:v>
                </c:pt>
                <c:pt idx="2">
                  <c:v>0.17309302293875659</c:v>
                </c:pt>
                <c:pt idx="3">
                  <c:v>2.8503371003048023E-2</c:v>
                </c:pt>
                <c:pt idx="4">
                  <c:v>1.9761490632991E-2</c:v>
                </c:pt>
                <c:pt idx="8">
                  <c:v>3.337957268002708E-2</c:v>
                </c:pt>
              </c:numCache>
            </c:numRef>
          </c:val>
          <c:extLst>
            <c:ext xmlns:c16="http://schemas.microsoft.com/office/drawing/2014/chart" uri="{C3380CC4-5D6E-409C-BE32-E72D297353CC}">
              <c16:uniqueId val="{00000001-36BA-428C-85B7-24702D35FB39}"/>
            </c:ext>
          </c:extLst>
        </c:ser>
        <c:ser>
          <c:idx val="2"/>
          <c:order val="2"/>
          <c:tx>
            <c:strRef>
              <c:f>'NS beam trawl under 300kW'!$C$95</c:f>
              <c:strCache>
                <c:ptCount val="1"/>
                <c:pt idx="0">
                  <c:v>Sole</c:v>
                </c:pt>
              </c:strCache>
            </c:strRef>
          </c:tx>
          <c:spPr>
            <a:solidFill>
              <a:srgbClr val="648C2E"/>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300kW'!$D$95:$M$95</c:f>
              <c:numCache>
                <c:formatCode>0%</c:formatCode>
                <c:ptCount val="10"/>
                <c:pt idx="0">
                  <c:v>2.3902283170617496E-2</c:v>
                </c:pt>
                <c:pt idx="5">
                  <c:v>1.7621714488039549E-4</c:v>
                </c:pt>
                <c:pt idx="6">
                  <c:v>2.0434626867137872E-3</c:v>
                </c:pt>
                <c:pt idx="7">
                  <c:v>2.0457887366125832E-3</c:v>
                </c:pt>
                <c:pt idx="8">
                  <c:v>1.3509893978359705E-3</c:v>
                </c:pt>
              </c:numCache>
            </c:numRef>
          </c:val>
          <c:extLst>
            <c:ext xmlns:c16="http://schemas.microsoft.com/office/drawing/2014/chart" uri="{C3380CC4-5D6E-409C-BE32-E72D297353CC}">
              <c16:uniqueId val="{00000002-36BA-428C-85B7-24702D35FB39}"/>
            </c:ext>
          </c:extLst>
        </c:ser>
        <c:ser>
          <c:idx val="3"/>
          <c:order val="3"/>
          <c:tx>
            <c:strRef>
              <c:f>'NS beam trawl under 300kW'!$C$96</c:f>
              <c:strCache>
                <c:ptCount val="1"/>
                <c:pt idx="0">
                  <c:v>Thornback Ray</c:v>
                </c:pt>
              </c:strCache>
            </c:strRef>
          </c:tx>
          <c:spPr>
            <a:solidFill>
              <a:srgbClr val="C1D119"/>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300kW'!$D$96:$M$96</c:f>
              <c:numCache>
                <c:formatCode>0%</c:formatCode>
                <c:ptCount val="10"/>
                <c:pt idx="0">
                  <c:v>5.2218645734163072E-3</c:v>
                </c:pt>
                <c:pt idx="7">
                  <c:v>4.8314040406050431E-4</c:v>
                </c:pt>
                <c:pt idx="8">
                  <c:v>2.4849486492599339E-4</c:v>
                </c:pt>
              </c:numCache>
            </c:numRef>
          </c:val>
          <c:extLst>
            <c:ext xmlns:c16="http://schemas.microsoft.com/office/drawing/2014/chart" uri="{C3380CC4-5D6E-409C-BE32-E72D297353CC}">
              <c16:uniqueId val="{00000003-36BA-428C-85B7-24702D35FB39}"/>
            </c:ext>
          </c:extLst>
        </c:ser>
        <c:ser>
          <c:idx val="4"/>
          <c:order val="4"/>
          <c:tx>
            <c:strRef>
              <c:f>'NS beam trawl under 300kW'!$C$97</c:f>
              <c:strCache>
                <c:ptCount val="1"/>
                <c:pt idx="0">
                  <c:v>Blonde Ray</c:v>
                </c:pt>
              </c:strCache>
            </c:strRef>
          </c:tx>
          <c:spPr>
            <a:solidFill>
              <a:srgbClr val="E84A38"/>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300kW'!$D$97:$M$97</c:f>
              <c:numCache>
                <c:formatCode>0%</c:formatCode>
                <c:ptCount val="10"/>
                <c:pt idx="8">
                  <c:v>1.4889161747037903E-4</c:v>
                </c:pt>
              </c:numCache>
            </c:numRef>
          </c:val>
          <c:extLst>
            <c:ext xmlns:c16="http://schemas.microsoft.com/office/drawing/2014/chart" uri="{C3380CC4-5D6E-409C-BE32-E72D297353CC}">
              <c16:uniqueId val="{00000004-36BA-428C-85B7-24702D35FB39}"/>
            </c:ext>
          </c:extLst>
        </c:ser>
        <c:ser>
          <c:idx val="5"/>
          <c:order val="5"/>
          <c:tx>
            <c:strRef>
              <c:f>'NS beam trawl under 300kW'!$C$98</c:f>
              <c:strCache>
                <c:ptCount val="1"/>
                <c:pt idx="0">
                  <c:v>Whelks</c:v>
                </c:pt>
              </c:strCache>
            </c:strRef>
          </c:tx>
          <c:spPr>
            <a:solidFill>
              <a:srgbClr val="0F9AA9"/>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300kW'!$D$98:$M$98</c:f>
              <c:numCache>
                <c:formatCode>0%</c:formatCode>
                <c:ptCount val="10"/>
                <c:pt idx="1">
                  <c:v>8.5025511785469451E-3</c:v>
                </c:pt>
                <c:pt idx="2">
                  <c:v>7.0390720866690085E-2</c:v>
                </c:pt>
                <c:pt idx="3">
                  <c:v>4.4407191912385471E-2</c:v>
                </c:pt>
                <c:pt idx="5">
                  <c:v>6.2257738603615522E-5</c:v>
                </c:pt>
                <c:pt idx="6">
                  <c:v>0.12159645705616602</c:v>
                </c:pt>
                <c:pt idx="7">
                  <c:v>2.4425860117960677E-2</c:v>
                </c:pt>
              </c:numCache>
            </c:numRef>
          </c:val>
          <c:extLst>
            <c:ext xmlns:c16="http://schemas.microsoft.com/office/drawing/2014/chart" uri="{C3380CC4-5D6E-409C-BE32-E72D297353CC}">
              <c16:uniqueId val="{00000005-36BA-428C-85B7-24702D35FB39}"/>
            </c:ext>
          </c:extLst>
        </c:ser>
        <c:ser>
          <c:idx val="6"/>
          <c:order val="6"/>
          <c:tx>
            <c:strRef>
              <c:f>'NS beam trawl under 300kW'!$C$99</c:f>
              <c:strCache>
                <c:ptCount val="1"/>
                <c:pt idx="0">
                  <c:v>Plaice</c:v>
                </c:pt>
              </c:strCache>
            </c:strRef>
          </c:tx>
          <c:spPr>
            <a:solidFill>
              <a:srgbClr val="FED825"/>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300kW'!$D$99:$M$99</c:f>
              <c:numCache>
                <c:formatCode>0%</c:formatCode>
                <c:ptCount val="10"/>
                <c:pt idx="7">
                  <c:v>1.8215084770952785E-3</c:v>
                </c:pt>
              </c:numCache>
            </c:numRef>
          </c:val>
          <c:extLst>
            <c:ext xmlns:c16="http://schemas.microsoft.com/office/drawing/2014/chart" uri="{C3380CC4-5D6E-409C-BE32-E72D297353CC}">
              <c16:uniqueId val="{00000006-36BA-428C-85B7-24702D35FB39}"/>
            </c:ext>
          </c:extLst>
        </c:ser>
        <c:ser>
          <c:idx val="7"/>
          <c:order val="7"/>
          <c:tx>
            <c:strRef>
              <c:f>'NS beam trawl under 300kW'!$C$100</c:f>
              <c:strCache>
                <c:ptCount val="1"/>
                <c:pt idx="0">
                  <c:v>Brown Crab</c:v>
                </c:pt>
              </c:strCache>
            </c:strRef>
          </c:tx>
          <c:spPr>
            <a:solidFill>
              <a:srgbClr val="707271"/>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300kW'!$D$100:$M$100</c:f>
              <c:numCache>
                <c:formatCode>0%</c:formatCode>
                <c:ptCount val="10"/>
                <c:pt idx="6">
                  <c:v>3.4972799658942635E-2</c:v>
                </c:pt>
              </c:numCache>
            </c:numRef>
          </c:val>
          <c:extLst>
            <c:ext xmlns:c16="http://schemas.microsoft.com/office/drawing/2014/chart" uri="{C3380CC4-5D6E-409C-BE32-E72D297353CC}">
              <c16:uniqueId val="{00000007-36BA-428C-85B7-24702D35FB39}"/>
            </c:ext>
          </c:extLst>
        </c:ser>
        <c:ser>
          <c:idx val="8"/>
          <c:order val="8"/>
          <c:tx>
            <c:strRef>
              <c:f>'NS beam trawl under 300kW'!$C$101</c:f>
              <c:strCache>
                <c:ptCount val="1"/>
                <c:pt idx="0">
                  <c:v>Lobsters</c:v>
                </c:pt>
              </c:strCache>
            </c:strRef>
          </c:tx>
          <c:spPr>
            <a:solidFill>
              <a:srgbClr val="51AA81"/>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300kW'!$D$101:$M$101</c:f>
              <c:numCache>
                <c:formatCode>0%</c:formatCode>
                <c:ptCount val="10"/>
                <c:pt idx="6">
                  <c:v>1.8101905407144212E-2</c:v>
                </c:pt>
              </c:numCache>
            </c:numRef>
          </c:val>
          <c:extLst>
            <c:ext xmlns:c16="http://schemas.microsoft.com/office/drawing/2014/chart" uri="{C3380CC4-5D6E-409C-BE32-E72D297353CC}">
              <c16:uniqueId val="{00000008-36BA-428C-85B7-24702D35FB39}"/>
            </c:ext>
          </c:extLst>
        </c:ser>
        <c:ser>
          <c:idx val="9"/>
          <c:order val="9"/>
          <c:tx>
            <c:strRef>
              <c:f>'NS beam trawl under 300kW'!$C$102</c:f>
              <c:strCache>
                <c:ptCount val="1"/>
                <c:pt idx="0">
                  <c:v>Cockles</c:v>
                </c:pt>
              </c:strCache>
            </c:strRef>
          </c:tx>
          <c:spPr>
            <a:solidFill>
              <a:srgbClr val="169FDB"/>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300kW'!$D$102:$M$102</c:f>
              <c:numCache>
                <c:formatCode>0%</c:formatCode>
                <c:ptCount val="10"/>
                <c:pt idx="0">
                  <c:v>9.7772231052043232E-2</c:v>
                </c:pt>
                <c:pt idx="1">
                  <c:v>0.14273414139646146</c:v>
                </c:pt>
                <c:pt idx="2">
                  <c:v>0.16625556390344598</c:v>
                </c:pt>
                <c:pt idx="4">
                  <c:v>2.5467246003201597E-3</c:v>
                </c:pt>
                <c:pt idx="5">
                  <c:v>2.7078232119932596E-3</c:v>
                </c:pt>
              </c:numCache>
            </c:numRef>
          </c:val>
          <c:extLst>
            <c:ext xmlns:c16="http://schemas.microsoft.com/office/drawing/2014/chart" uri="{C3380CC4-5D6E-409C-BE32-E72D297353CC}">
              <c16:uniqueId val="{00000009-36BA-428C-85B7-24702D35FB39}"/>
            </c:ext>
          </c:extLst>
        </c:ser>
        <c:ser>
          <c:idx val="10"/>
          <c:order val="10"/>
          <c:tx>
            <c:strRef>
              <c:f>'NS beam trawl under 300kW'!$C$103</c:f>
              <c:strCache>
                <c:ptCount val="1"/>
                <c:pt idx="0">
                  <c:v>Cod</c:v>
                </c:pt>
              </c:strCache>
            </c:strRef>
          </c:tx>
          <c:spPr>
            <a:solidFill>
              <a:srgbClr val="E40D2C"/>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300kW'!$D$103:$M$103</c:f>
              <c:numCache>
                <c:formatCode>0%</c:formatCode>
                <c:ptCount val="10"/>
                <c:pt idx="5">
                  <c:v>3.8814204480728843E-4</c:v>
                </c:pt>
              </c:numCache>
            </c:numRef>
          </c:val>
          <c:extLst>
            <c:ext xmlns:c16="http://schemas.microsoft.com/office/drawing/2014/chart" uri="{C3380CC4-5D6E-409C-BE32-E72D297353CC}">
              <c16:uniqueId val="{0000000A-36BA-428C-85B7-24702D35FB39}"/>
            </c:ext>
          </c:extLst>
        </c:ser>
        <c:ser>
          <c:idx val="11"/>
          <c:order val="11"/>
          <c:tx>
            <c:strRef>
              <c:f>'NS beam trawl under 300kW'!$C$104</c:f>
              <c:strCache>
                <c:ptCount val="1"/>
                <c:pt idx="0">
                  <c:v>Nephrops</c:v>
                </c:pt>
              </c:strCache>
            </c:strRef>
          </c:tx>
          <c:spPr>
            <a:solidFill>
              <a:srgbClr val="B4C3E5"/>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300kW'!$D$104:$M$104</c:f>
              <c:numCache>
                <c:formatCode>0%</c:formatCode>
                <c:ptCount val="10"/>
                <c:pt idx="3">
                  <c:v>1.4567478344621194E-2</c:v>
                </c:pt>
              </c:numCache>
            </c:numRef>
          </c:val>
          <c:extLst>
            <c:ext xmlns:c16="http://schemas.microsoft.com/office/drawing/2014/chart" uri="{C3380CC4-5D6E-409C-BE32-E72D297353CC}">
              <c16:uniqueId val="{0000000B-36BA-428C-85B7-24702D35FB39}"/>
            </c:ext>
          </c:extLst>
        </c:ser>
        <c:ser>
          <c:idx val="12"/>
          <c:order val="12"/>
          <c:tx>
            <c:strRef>
              <c:f>'NS beam trawl under 300kW'!$C$105</c:f>
              <c:strCache>
                <c:ptCount val="1"/>
                <c:pt idx="0">
                  <c:v>Whiting</c:v>
                </c:pt>
              </c:strCache>
            </c:strRef>
          </c:tx>
          <c:spPr>
            <a:solidFill>
              <a:srgbClr val="F8CBA1"/>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300kW'!$D$105:$M$105</c:f>
              <c:numCache>
                <c:formatCode>0%</c:formatCode>
                <c:ptCount val="10"/>
                <c:pt idx="3">
                  <c:v>1.4274044277234835E-3</c:v>
                </c:pt>
              </c:numCache>
            </c:numRef>
          </c:val>
          <c:extLst>
            <c:ext xmlns:c16="http://schemas.microsoft.com/office/drawing/2014/chart" uri="{C3380CC4-5D6E-409C-BE32-E72D297353CC}">
              <c16:uniqueId val="{0000000C-36BA-428C-85B7-24702D35FB39}"/>
            </c:ext>
          </c:extLst>
        </c:ser>
        <c:ser>
          <c:idx val="13"/>
          <c:order val="13"/>
          <c:tx>
            <c:strRef>
              <c:f>'NS beam trawl under 300kW'!$C$106</c:f>
              <c:strCache>
                <c:ptCount val="1"/>
                <c:pt idx="0">
                  <c:v>Pink Shrimps</c:v>
                </c:pt>
              </c:strCache>
            </c:strRef>
          </c:tx>
          <c:spPr>
            <a:solidFill>
              <a:srgbClr val="C5CDA6"/>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300kW'!$D$106:$M$106</c:f>
              <c:numCache>
                <c:formatCode>0%</c:formatCode>
                <c:ptCount val="10"/>
                <c:pt idx="0">
                  <c:v>7.5626714770666379E-3</c:v>
                </c:pt>
                <c:pt idx="1">
                  <c:v>1.0064324158753774E-2</c:v>
                </c:pt>
                <c:pt idx="2">
                  <c:v>2.7391022272431113E-3</c:v>
                </c:pt>
              </c:numCache>
            </c:numRef>
          </c:val>
          <c:extLst>
            <c:ext xmlns:c16="http://schemas.microsoft.com/office/drawing/2014/chart" uri="{C3380CC4-5D6E-409C-BE32-E72D297353CC}">
              <c16:uniqueId val="{0000000D-36BA-428C-85B7-24702D35FB39}"/>
            </c:ext>
          </c:extLst>
        </c:ser>
        <c:ser>
          <c:idx val="14"/>
          <c:order val="14"/>
          <c:tx>
            <c:strRef>
              <c:f>'NS beam trawl under 300kW'!$C$107</c:f>
              <c:strCache>
                <c:ptCount val="1"/>
                <c:pt idx="0">
                  <c:v>Others</c:v>
                </c:pt>
              </c:strCache>
            </c:strRef>
          </c:tx>
          <c:spPr>
            <a:solidFill>
              <a:srgbClr val="55585A"/>
            </a:solidFill>
            <a:ln>
              <a:solidFill>
                <a:srgbClr val="FFFFFF"/>
              </a:solidFill>
            </a:ln>
          </c:spPr>
          <c:invertIfNegative val="0"/>
          <c:cat>
            <c:numRef>
              <c:f>'NS beam trawl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beam trawl under 300kW'!$D$107:$M$107</c:f>
              <c:numCache>
                <c:formatCode>0%</c:formatCode>
                <c:ptCount val="10"/>
                <c:pt idx="0">
                  <c:v>5.3270898197671111E-3</c:v>
                </c:pt>
                <c:pt idx="1">
                  <c:v>7.0135736190726234E-3</c:v>
                </c:pt>
                <c:pt idx="2">
                  <c:v>0</c:v>
                </c:pt>
                <c:pt idx="3">
                  <c:v>2.6877537311123406E-3</c:v>
                </c:pt>
                <c:pt idx="4">
                  <c:v>5.2786064738778822E-8</c:v>
                </c:pt>
                <c:pt idx="5">
                  <c:v>4.5012009371946763E-5</c:v>
                </c:pt>
                <c:pt idx="6">
                  <c:v>1.6058394564809952E-4</c:v>
                </c:pt>
                <c:pt idx="7">
                  <c:v>1.2856958229822931E-3</c:v>
                </c:pt>
                <c:pt idx="8">
                  <c:v>4.0378698922901565E-4</c:v>
                </c:pt>
                <c:pt idx="9">
                  <c:v>-3.4918039678904879E-8</c:v>
                </c:pt>
              </c:numCache>
            </c:numRef>
          </c:val>
          <c:extLst>
            <c:ext xmlns:c16="http://schemas.microsoft.com/office/drawing/2014/chart" uri="{C3380CC4-5D6E-409C-BE32-E72D297353CC}">
              <c16:uniqueId val="{0000000E-36BA-428C-85B7-24702D35FB39}"/>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o250kW'!$A$49</c:f>
          <c:strCache>
            <c:ptCount val="1"/>
            <c:pt idx="0">
              <c:v>Landings per kW day at sea (kg)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45FC-4B5B-A6A7-65F270DE874F}"/>
              </c:ext>
            </c:extLst>
          </c:dPt>
          <c:dPt>
            <c:idx val="10"/>
            <c:bubble3D val="0"/>
            <c:spPr>
              <a:ln w="57150">
                <a:solidFill>
                  <a:srgbClr val="2273B9"/>
                </a:solidFill>
                <a:prstDash val="sysDot"/>
              </a:ln>
            </c:spPr>
            <c:extLst>
              <c:ext xmlns:c16="http://schemas.microsoft.com/office/drawing/2014/chart" uri="{C3380CC4-5D6E-409C-BE32-E72D297353CC}">
                <c16:uniqueId val="{00000003-45FC-4B5B-A6A7-65F270DE874F}"/>
              </c:ext>
            </c:extLst>
          </c:dPt>
          <c:cat>
            <c:numRef>
              <c:f>'Area VIIa nephrops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o250kW'!$D$22:$N$22</c:f>
              <c:numCache>
                <c:formatCode>#,##0.00</c:formatCode>
                <c:ptCount val="11"/>
                <c:pt idx="0">
                  <c:v>2.493757903178019</c:v>
                </c:pt>
                <c:pt idx="1">
                  <c:v>2.2692347110750757</c:v>
                </c:pt>
                <c:pt idx="2">
                  <c:v>2.1480577556572968</c:v>
                </c:pt>
                <c:pt idx="3">
                  <c:v>2.4498943991317526</c:v>
                </c:pt>
                <c:pt idx="4">
                  <c:v>2.4082925636584998</c:v>
                </c:pt>
                <c:pt idx="5">
                  <c:v>2.4198993416850563</c:v>
                </c:pt>
                <c:pt idx="6">
                  <c:v>2.3431638033052349</c:v>
                </c:pt>
                <c:pt idx="7">
                  <c:v>2.6144015964114602</c:v>
                </c:pt>
                <c:pt idx="8">
                  <c:v>2.9246702573150047</c:v>
                </c:pt>
                <c:pt idx="9">
                  <c:v>2.8688298168371227</c:v>
                </c:pt>
                <c:pt idx="10">
                  <c:v>2.8780416474842108</c:v>
                </c:pt>
              </c:numCache>
            </c:numRef>
          </c:val>
          <c:smooth val="0"/>
          <c:extLst>
            <c:ext xmlns:c16="http://schemas.microsoft.com/office/drawing/2014/chart" uri="{C3380CC4-5D6E-409C-BE32-E72D297353CC}">
              <c16:uniqueId val="{00000004-45FC-4B5B-A6A7-65F270DE874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under 300kW'!$B$163</c:f>
              <c:strCache>
                <c:ptCount val="1"/>
                <c:pt idx="0">
                  <c:v>Brown Shrimps</c:v>
                </c:pt>
              </c:strCache>
            </c:strRef>
          </c:tx>
          <c:spPr>
            <a:solidFill>
              <a:srgbClr val="2273B9"/>
            </a:solidFill>
            <a:ln>
              <a:solidFill>
                <a:srgbClr val="FFFFFF"/>
              </a:solidFill>
            </a:ln>
          </c:spPr>
          <c:invertIfNegative val="0"/>
          <c:cat>
            <c:strRef>
              <c:f>'NS beam trawl under 300kW'!$C$162:$E$162</c:f>
              <c:strCache>
                <c:ptCount val="3"/>
                <c:pt idx="0">
                  <c:v>Most
profitable
quartile</c:v>
                </c:pt>
                <c:pt idx="1">
                  <c:v>Middle 
two quartiles</c:v>
                </c:pt>
                <c:pt idx="2">
                  <c:v>Least
profitable
quartile</c:v>
                </c:pt>
              </c:strCache>
            </c:strRef>
          </c:cat>
          <c:val>
            <c:numRef>
              <c:f>'NS beam trawl under 300kW'!$C$163:$E$163</c:f>
              <c:numCache>
                <c:formatCode>0%</c:formatCode>
                <c:ptCount val="3"/>
                <c:pt idx="0">
                  <c:v>0</c:v>
                </c:pt>
                <c:pt idx="1">
                  <c:v>0.91580707934340932</c:v>
                </c:pt>
                <c:pt idx="2">
                  <c:v>0</c:v>
                </c:pt>
              </c:numCache>
            </c:numRef>
          </c:val>
          <c:extLst>
            <c:ext xmlns:c16="http://schemas.microsoft.com/office/drawing/2014/chart" uri="{C3380CC4-5D6E-409C-BE32-E72D297353CC}">
              <c16:uniqueId val="{00000000-DFC6-4961-B315-6654EDEFE393}"/>
            </c:ext>
          </c:extLst>
        </c:ser>
        <c:ser>
          <c:idx val="1"/>
          <c:order val="1"/>
          <c:tx>
            <c:strRef>
              <c:f>'NS beam trawl under 300kW'!$B$164</c:f>
              <c:strCache>
                <c:ptCount val="1"/>
                <c:pt idx="0">
                  <c:v>Scallops</c:v>
                </c:pt>
              </c:strCache>
            </c:strRef>
          </c:tx>
          <c:spPr>
            <a:solidFill>
              <a:srgbClr val="E87308"/>
            </a:solidFill>
            <a:ln>
              <a:solidFill>
                <a:srgbClr val="FFFFFF"/>
              </a:solidFill>
            </a:ln>
          </c:spPr>
          <c:invertIfNegative val="0"/>
          <c:cat>
            <c:strRef>
              <c:f>'NS beam trawl under 300kW'!$C$162:$E$162</c:f>
              <c:strCache>
                <c:ptCount val="3"/>
                <c:pt idx="0">
                  <c:v>Most
profitable
quartile</c:v>
                </c:pt>
                <c:pt idx="1">
                  <c:v>Middle 
two quartiles</c:v>
                </c:pt>
                <c:pt idx="2">
                  <c:v>Least
profitable
quartile</c:v>
                </c:pt>
              </c:strCache>
            </c:strRef>
          </c:cat>
          <c:val>
            <c:numRef>
              <c:f>'NS beam trawl under 300kW'!$C$164:$E$164</c:f>
              <c:numCache>
                <c:formatCode>0%</c:formatCode>
                <c:ptCount val="3"/>
                <c:pt idx="0">
                  <c:v>0</c:v>
                </c:pt>
                <c:pt idx="1">
                  <c:v>8.1207004042623834E-2</c:v>
                </c:pt>
                <c:pt idx="2">
                  <c:v>0</c:v>
                </c:pt>
              </c:numCache>
            </c:numRef>
          </c:val>
          <c:extLst>
            <c:ext xmlns:c16="http://schemas.microsoft.com/office/drawing/2014/chart" uri="{C3380CC4-5D6E-409C-BE32-E72D297353CC}">
              <c16:uniqueId val="{00000001-DFC6-4961-B315-6654EDEFE393}"/>
            </c:ext>
          </c:extLst>
        </c:ser>
        <c:ser>
          <c:idx val="2"/>
          <c:order val="2"/>
          <c:tx>
            <c:strRef>
              <c:f>'NS beam trawl under 300kW'!$B$165</c:f>
              <c:strCache>
                <c:ptCount val="1"/>
                <c:pt idx="0">
                  <c:v>Sole</c:v>
                </c:pt>
              </c:strCache>
            </c:strRef>
          </c:tx>
          <c:spPr>
            <a:solidFill>
              <a:srgbClr val="648C2E"/>
            </a:solidFill>
            <a:ln>
              <a:solidFill>
                <a:srgbClr val="FFFFFF"/>
              </a:solidFill>
            </a:ln>
          </c:spPr>
          <c:invertIfNegative val="0"/>
          <c:cat>
            <c:strRef>
              <c:f>'NS beam trawl under 300kW'!$C$162:$E$162</c:f>
              <c:strCache>
                <c:ptCount val="3"/>
                <c:pt idx="0">
                  <c:v>Most
profitable
quartile</c:v>
                </c:pt>
                <c:pt idx="1">
                  <c:v>Middle 
two quartiles</c:v>
                </c:pt>
                <c:pt idx="2">
                  <c:v>Least
profitable
quartile</c:v>
                </c:pt>
              </c:strCache>
            </c:strRef>
          </c:cat>
          <c:val>
            <c:numRef>
              <c:f>'NS beam trawl under 300kW'!$C$165:$E$165</c:f>
              <c:numCache>
                <c:formatCode>0%</c:formatCode>
                <c:ptCount val="3"/>
                <c:pt idx="0">
                  <c:v>0</c:v>
                </c:pt>
                <c:pt idx="1">
                  <c:v>1.1698912570587781E-3</c:v>
                </c:pt>
                <c:pt idx="2">
                  <c:v>0</c:v>
                </c:pt>
              </c:numCache>
            </c:numRef>
          </c:val>
          <c:extLst>
            <c:ext xmlns:c16="http://schemas.microsoft.com/office/drawing/2014/chart" uri="{C3380CC4-5D6E-409C-BE32-E72D297353CC}">
              <c16:uniqueId val="{00000002-DFC6-4961-B315-6654EDEFE393}"/>
            </c:ext>
          </c:extLst>
        </c:ser>
        <c:ser>
          <c:idx val="3"/>
          <c:order val="3"/>
          <c:tx>
            <c:strRef>
              <c:f>'NS beam trawl under 300kW'!$B$166</c:f>
              <c:strCache>
                <c:ptCount val="1"/>
                <c:pt idx="0">
                  <c:v>Dogfish</c:v>
                </c:pt>
              </c:strCache>
            </c:strRef>
          </c:tx>
          <c:spPr>
            <a:solidFill>
              <a:srgbClr val="0F9AA9"/>
            </a:solidFill>
            <a:ln>
              <a:solidFill>
                <a:srgbClr val="FFFFFF"/>
              </a:solidFill>
            </a:ln>
          </c:spPr>
          <c:invertIfNegative val="0"/>
          <c:cat>
            <c:strRef>
              <c:f>'NS beam trawl under 300kW'!$C$162:$E$162</c:f>
              <c:strCache>
                <c:ptCount val="3"/>
                <c:pt idx="0">
                  <c:v>Most
profitable
quartile</c:v>
                </c:pt>
                <c:pt idx="1">
                  <c:v>Middle 
two quartiles</c:v>
                </c:pt>
                <c:pt idx="2">
                  <c:v>Least
profitable
quartile</c:v>
                </c:pt>
              </c:strCache>
            </c:strRef>
          </c:cat>
          <c:val>
            <c:numRef>
              <c:f>'NS beam trawl under 300kW'!$C$166:$E$166</c:f>
              <c:numCache>
                <c:formatCode>0%</c:formatCode>
                <c:ptCount val="3"/>
                <c:pt idx="0">
                  <c:v>0</c:v>
                </c:pt>
                <c:pt idx="1">
                  <c:v>5.7724901702175819E-4</c:v>
                </c:pt>
                <c:pt idx="2">
                  <c:v>0</c:v>
                </c:pt>
              </c:numCache>
            </c:numRef>
          </c:val>
          <c:extLst>
            <c:ext xmlns:c16="http://schemas.microsoft.com/office/drawing/2014/chart" uri="{C3380CC4-5D6E-409C-BE32-E72D297353CC}">
              <c16:uniqueId val="{00000003-DFC6-4961-B315-6654EDEFE393}"/>
            </c:ext>
          </c:extLst>
        </c:ser>
        <c:ser>
          <c:idx val="4"/>
          <c:order val="4"/>
          <c:tx>
            <c:strRef>
              <c:f>'NS beam trawl under 300kW'!$B$167</c:f>
              <c:strCache>
                <c:ptCount val="1"/>
                <c:pt idx="0">
                  <c:v>Thornback Ray</c:v>
                </c:pt>
              </c:strCache>
            </c:strRef>
          </c:tx>
          <c:spPr>
            <a:solidFill>
              <a:srgbClr val="C1D119"/>
            </a:solidFill>
            <a:ln>
              <a:solidFill>
                <a:srgbClr val="FFFFFF"/>
              </a:solidFill>
            </a:ln>
          </c:spPr>
          <c:invertIfNegative val="0"/>
          <c:cat>
            <c:strRef>
              <c:f>'NS beam trawl under 300kW'!$C$162:$E$162</c:f>
              <c:strCache>
                <c:ptCount val="3"/>
                <c:pt idx="0">
                  <c:v>Most
profitable
quartile</c:v>
                </c:pt>
                <c:pt idx="1">
                  <c:v>Middle 
two quartiles</c:v>
                </c:pt>
                <c:pt idx="2">
                  <c:v>Least
profitable
quartile</c:v>
                </c:pt>
              </c:strCache>
            </c:strRef>
          </c:cat>
          <c:val>
            <c:numRef>
              <c:f>'NS beam trawl under 300kW'!$C$167:$E$167</c:f>
              <c:numCache>
                <c:formatCode>0%</c:formatCode>
                <c:ptCount val="3"/>
                <c:pt idx="0">
                  <c:v>0</c:v>
                </c:pt>
                <c:pt idx="1">
                  <c:v>4.8488916282936979E-4</c:v>
                </c:pt>
                <c:pt idx="2">
                  <c:v>0</c:v>
                </c:pt>
              </c:numCache>
            </c:numRef>
          </c:val>
          <c:extLst>
            <c:ext xmlns:c16="http://schemas.microsoft.com/office/drawing/2014/chart" uri="{C3380CC4-5D6E-409C-BE32-E72D297353CC}">
              <c16:uniqueId val="{00000004-DFC6-4961-B315-6654EDEFE393}"/>
            </c:ext>
          </c:extLst>
        </c:ser>
        <c:ser>
          <c:idx val="5"/>
          <c:order val="5"/>
          <c:tx>
            <c:strRef>
              <c:f>'NS beam trawl under 300kW'!$B$168</c:f>
              <c:strCache>
                <c:ptCount val="1"/>
                <c:pt idx="0">
                  <c:v>Others</c:v>
                </c:pt>
              </c:strCache>
            </c:strRef>
          </c:tx>
          <c:spPr>
            <a:solidFill>
              <a:srgbClr val="55585A"/>
            </a:solidFill>
            <a:ln>
              <a:solidFill>
                <a:srgbClr val="FFFFFF"/>
              </a:solidFill>
            </a:ln>
          </c:spPr>
          <c:invertIfNegative val="0"/>
          <c:cat>
            <c:strRef>
              <c:f>'NS beam trawl under 300kW'!$C$162:$E$162</c:f>
              <c:strCache>
                <c:ptCount val="3"/>
                <c:pt idx="0">
                  <c:v>Most
profitable
quartile</c:v>
                </c:pt>
                <c:pt idx="1">
                  <c:v>Middle 
two quartiles</c:v>
                </c:pt>
                <c:pt idx="2">
                  <c:v>Least
profitable
quartile</c:v>
                </c:pt>
              </c:strCache>
            </c:strRef>
          </c:cat>
          <c:val>
            <c:numRef>
              <c:f>'NS beam trawl under 300kW'!$C$168:$E$168</c:f>
              <c:numCache>
                <c:formatCode>0%</c:formatCode>
                <c:ptCount val="3"/>
                <c:pt idx="0">
                  <c:v>0</c:v>
                </c:pt>
                <c:pt idx="1">
                  <c:v>7.5388717705693331E-4</c:v>
                </c:pt>
                <c:pt idx="2">
                  <c:v>0</c:v>
                </c:pt>
              </c:numCache>
            </c:numRef>
          </c:val>
          <c:extLst>
            <c:ext xmlns:c16="http://schemas.microsoft.com/office/drawing/2014/chart" uri="{C3380CC4-5D6E-409C-BE32-E72D297353CC}">
              <c16:uniqueId val="{00000005-DFC6-4961-B315-6654EDEFE39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under 300kW'!$H$163</c:f>
              <c:strCache>
                <c:ptCount val="1"/>
                <c:pt idx="0">
                  <c:v>Brown Shrimps</c:v>
                </c:pt>
              </c:strCache>
            </c:strRef>
          </c:tx>
          <c:spPr>
            <a:solidFill>
              <a:srgbClr val="2273B9"/>
            </a:solidFill>
            <a:ln>
              <a:solidFill>
                <a:srgbClr val="FFFFFF"/>
              </a:solidFill>
            </a:ln>
          </c:spPr>
          <c:invertIfNegative val="0"/>
          <c:cat>
            <c:strRef>
              <c:f>'NS beam trawl under 300kW'!$I$162:$K$162</c:f>
              <c:strCache>
                <c:ptCount val="3"/>
                <c:pt idx="0">
                  <c:v>Most
profitable
quartile</c:v>
                </c:pt>
                <c:pt idx="1">
                  <c:v>Middle 
two quartiles</c:v>
                </c:pt>
                <c:pt idx="2">
                  <c:v>Least
profitable
quartile</c:v>
                </c:pt>
              </c:strCache>
            </c:strRef>
          </c:cat>
          <c:val>
            <c:numRef>
              <c:f>'NS beam trawl under 300kW'!$I$163:$K$163</c:f>
              <c:numCache>
                <c:formatCode>0%</c:formatCode>
                <c:ptCount val="3"/>
                <c:pt idx="0">
                  <c:v>0</c:v>
                </c:pt>
                <c:pt idx="1">
                  <c:v>0.94359471835746567</c:v>
                </c:pt>
                <c:pt idx="2">
                  <c:v>0</c:v>
                </c:pt>
              </c:numCache>
            </c:numRef>
          </c:val>
          <c:extLst>
            <c:ext xmlns:c16="http://schemas.microsoft.com/office/drawing/2014/chart" uri="{C3380CC4-5D6E-409C-BE32-E72D297353CC}">
              <c16:uniqueId val="{00000000-E2D6-4D83-9FB3-FAD68855643E}"/>
            </c:ext>
          </c:extLst>
        </c:ser>
        <c:ser>
          <c:idx val="1"/>
          <c:order val="1"/>
          <c:tx>
            <c:strRef>
              <c:f>'NS beam trawl under 300kW'!$H$164</c:f>
              <c:strCache>
                <c:ptCount val="1"/>
                <c:pt idx="0">
                  <c:v>Scallops</c:v>
                </c:pt>
              </c:strCache>
            </c:strRef>
          </c:tx>
          <c:spPr>
            <a:solidFill>
              <a:srgbClr val="E87308"/>
            </a:solidFill>
            <a:ln>
              <a:solidFill>
                <a:srgbClr val="FFFFFF"/>
              </a:solidFill>
            </a:ln>
          </c:spPr>
          <c:invertIfNegative val="0"/>
          <c:cat>
            <c:strRef>
              <c:f>'NS beam trawl under 300kW'!$I$162:$K$162</c:f>
              <c:strCache>
                <c:ptCount val="3"/>
                <c:pt idx="0">
                  <c:v>Most
profitable
quartile</c:v>
                </c:pt>
                <c:pt idx="1">
                  <c:v>Middle 
two quartiles</c:v>
                </c:pt>
                <c:pt idx="2">
                  <c:v>Least
profitable
quartile</c:v>
                </c:pt>
              </c:strCache>
            </c:strRef>
          </c:cat>
          <c:val>
            <c:numRef>
              <c:f>'NS beam trawl under 300kW'!$I$164:$K$164</c:f>
              <c:numCache>
                <c:formatCode>0%</c:formatCode>
                <c:ptCount val="3"/>
                <c:pt idx="0">
                  <c:v>0</c:v>
                </c:pt>
                <c:pt idx="1">
                  <c:v>5.2989279892878466E-2</c:v>
                </c:pt>
                <c:pt idx="2">
                  <c:v>0</c:v>
                </c:pt>
              </c:numCache>
            </c:numRef>
          </c:val>
          <c:extLst>
            <c:ext xmlns:c16="http://schemas.microsoft.com/office/drawing/2014/chart" uri="{C3380CC4-5D6E-409C-BE32-E72D297353CC}">
              <c16:uniqueId val="{00000001-E2D6-4D83-9FB3-FAD68855643E}"/>
            </c:ext>
          </c:extLst>
        </c:ser>
        <c:ser>
          <c:idx val="2"/>
          <c:order val="2"/>
          <c:tx>
            <c:strRef>
              <c:f>'NS beam trawl under 300kW'!$H$165</c:f>
              <c:strCache>
                <c:ptCount val="1"/>
                <c:pt idx="0">
                  <c:v>Sole</c:v>
                </c:pt>
              </c:strCache>
            </c:strRef>
          </c:tx>
          <c:spPr>
            <a:solidFill>
              <a:srgbClr val="648C2E"/>
            </a:solidFill>
            <a:ln>
              <a:solidFill>
                <a:srgbClr val="FFFFFF"/>
              </a:solidFill>
            </a:ln>
          </c:spPr>
          <c:invertIfNegative val="0"/>
          <c:cat>
            <c:strRef>
              <c:f>'NS beam trawl under 300kW'!$I$162:$K$162</c:f>
              <c:strCache>
                <c:ptCount val="3"/>
                <c:pt idx="0">
                  <c:v>Most
profitable
quartile</c:v>
                </c:pt>
                <c:pt idx="1">
                  <c:v>Middle 
two quartiles</c:v>
                </c:pt>
                <c:pt idx="2">
                  <c:v>Least
profitable
quartile</c:v>
                </c:pt>
              </c:strCache>
            </c:strRef>
          </c:cat>
          <c:val>
            <c:numRef>
              <c:f>'NS beam trawl under 300kW'!$I$165:$K$165</c:f>
              <c:numCache>
                <c:formatCode>0%</c:formatCode>
                <c:ptCount val="3"/>
                <c:pt idx="0">
                  <c:v>0</c:v>
                </c:pt>
                <c:pt idx="1">
                  <c:v>2.1446636246807548E-3</c:v>
                </c:pt>
                <c:pt idx="2">
                  <c:v>0</c:v>
                </c:pt>
              </c:numCache>
            </c:numRef>
          </c:val>
          <c:extLst>
            <c:ext xmlns:c16="http://schemas.microsoft.com/office/drawing/2014/chart" uri="{C3380CC4-5D6E-409C-BE32-E72D297353CC}">
              <c16:uniqueId val="{00000002-E2D6-4D83-9FB3-FAD68855643E}"/>
            </c:ext>
          </c:extLst>
        </c:ser>
        <c:ser>
          <c:idx val="3"/>
          <c:order val="3"/>
          <c:tx>
            <c:strRef>
              <c:f>'NS beam trawl under 300kW'!$H$166</c:f>
              <c:strCache>
                <c:ptCount val="1"/>
                <c:pt idx="0">
                  <c:v>Thornback Ray</c:v>
                </c:pt>
              </c:strCache>
            </c:strRef>
          </c:tx>
          <c:spPr>
            <a:solidFill>
              <a:srgbClr val="C1D119"/>
            </a:solidFill>
            <a:ln>
              <a:solidFill>
                <a:srgbClr val="FFFFFF"/>
              </a:solidFill>
            </a:ln>
          </c:spPr>
          <c:invertIfNegative val="0"/>
          <c:cat>
            <c:strRef>
              <c:f>'NS beam trawl under 300kW'!$I$162:$K$162</c:f>
              <c:strCache>
                <c:ptCount val="3"/>
                <c:pt idx="0">
                  <c:v>Most
profitable
quartile</c:v>
                </c:pt>
                <c:pt idx="1">
                  <c:v>Middle 
two quartiles</c:v>
                </c:pt>
                <c:pt idx="2">
                  <c:v>Least
profitable
quartile</c:v>
                </c:pt>
              </c:strCache>
            </c:strRef>
          </c:cat>
          <c:val>
            <c:numRef>
              <c:f>'NS beam trawl under 300kW'!$I$166:$K$166</c:f>
              <c:numCache>
                <c:formatCode>0%</c:formatCode>
                <c:ptCount val="3"/>
                <c:pt idx="0">
                  <c:v>0</c:v>
                </c:pt>
                <c:pt idx="1">
                  <c:v>3.944797039713274E-4</c:v>
                </c:pt>
                <c:pt idx="2">
                  <c:v>0</c:v>
                </c:pt>
              </c:numCache>
            </c:numRef>
          </c:val>
          <c:extLst>
            <c:ext xmlns:c16="http://schemas.microsoft.com/office/drawing/2014/chart" uri="{C3380CC4-5D6E-409C-BE32-E72D297353CC}">
              <c16:uniqueId val="{00000003-E2D6-4D83-9FB3-FAD68855643E}"/>
            </c:ext>
          </c:extLst>
        </c:ser>
        <c:ser>
          <c:idx val="4"/>
          <c:order val="4"/>
          <c:tx>
            <c:strRef>
              <c:f>'NS beam trawl under 300kW'!$H$167</c:f>
              <c:strCache>
                <c:ptCount val="1"/>
                <c:pt idx="0">
                  <c:v>Blonde Ray</c:v>
                </c:pt>
              </c:strCache>
            </c:strRef>
          </c:tx>
          <c:spPr>
            <a:solidFill>
              <a:srgbClr val="E84A38"/>
            </a:solidFill>
            <a:ln>
              <a:solidFill>
                <a:srgbClr val="FFFFFF"/>
              </a:solidFill>
            </a:ln>
          </c:spPr>
          <c:invertIfNegative val="0"/>
          <c:cat>
            <c:strRef>
              <c:f>'NS beam trawl under 300kW'!$I$162:$K$162</c:f>
              <c:strCache>
                <c:ptCount val="3"/>
                <c:pt idx="0">
                  <c:v>Most
profitable
quartile</c:v>
                </c:pt>
                <c:pt idx="1">
                  <c:v>Middle 
two quartiles</c:v>
                </c:pt>
                <c:pt idx="2">
                  <c:v>Least
profitable
quartile</c:v>
                </c:pt>
              </c:strCache>
            </c:strRef>
          </c:cat>
          <c:val>
            <c:numRef>
              <c:f>'NS beam trawl under 300kW'!$I$167:$K$167</c:f>
              <c:numCache>
                <c:formatCode>0%</c:formatCode>
                <c:ptCount val="3"/>
                <c:pt idx="0">
                  <c:v>0</c:v>
                </c:pt>
                <c:pt idx="1">
                  <c:v>2.3636191114460086E-4</c:v>
                </c:pt>
                <c:pt idx="2">
                  <c:v>0</c:v>
                </c:pt>
              </c:numCache>
            </c:numRef>
          </c:val>
          <c:extLst>
            <c:ext xmlns:c16="http://schemas.microsoft.com/office/drawing/2014/chart" uri="{C3380CC4-5D6E-409C-BE32-E72D297353CC}">
              <c16:uniqueId val="{00000004-E2D6-4D83-9FB3-FAD68855643E}"/>
            </c:ext>
          </c:extLst>
        </c:ser>
        <c:ser>
          <c:idx val="5"/>
          <c:order val="5"/>
          <c:tx>
            <c:strRef>
              <c:f>'NS beam trawl under 300kW'!$H$168</c:f>
              <c:strCache>
                <c:ptCount val="1"/>
                <c:pt idx="0">
                  <c:v>Others</c:v>
                </c:pt>
              </c:strCache>
            </c:strRef>
          </c:tx>
          <c:spPr>
            <a:solidFill>
              <a:srgbClr val="55585A"/>
            </a:solidFill>
            <a:ln>
              <a:solidFill>
                <a:srgbClr val="FFFFFF"/>
              </a:solidFill>
            </a:ln>
          </c:spPr>
          <c:invertIfNegative val="0"/>
          <c:cat>
            <c:strRef>
              <c:f>'NS beam trawl under 300kW'!$I$162:$K$162</c:f>
              <c:strCache>
                <c:ptCount val="3"/>
                <c:pt idx="0">
                  <c:v>Most
profitable
quartile</c:v>
                </c:pt>
                <c:pt idx="1">
                  <c:v>Middle 
two quartiles</c:v>
                </c:pt>
                <c:pt idx="2">
                  <c:v>Least
profitable
quartile</c:v>
                </c:pt>
              </c:strCache>
            </c:strRef>
          </c:cat>
          <c:val>
            <c:numRef>
              <c:f>'NS beam trawl under 300kW'!$I$168:$K$168</c:f>
              <c:numCache>
                <c:formatCode>0%</c:formatCode>
                <c:ptCount val="3"/>
                <c:pt idx="0">
                  <c:v>0</c:v>
                </c:pt>
                <c:pt idx="1">
                  <c:v>6.4049650985908979E-4</c:v>
                </c:pt>
                <c:pt idx="2">
                  <c:v>0</c:v>
                </c:pt>
              </c:numCache>
            </c:numRef>
          </c:val>
          <c:extLst>
            <c:ext xmlns:c16="http://schemas.microsoft.com/office/drawing/2014/chart" uri="{C3380CC4-5D6E-409C-BE32-E72D297353CC}">
              <c16:uniqueId val="{00000005-E2D6-4D83-9FB3-FAD68855643E}"/>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under 300kW'!$K$140</c:f>
              <c:strCache>
                <c:ptCount val="1"/>
                <c:pt idx="0">
                  <c:v>Total income</c:v>
                </c:pt>
              </c:strCache>
            </c:strRef>
          </c:tx>
          <c:spPr>
            <a:solidFill>
              <a:srgbClr val="087CBB"/>
            </a:solidFill>
            <a:ln>
              <a:solidFill>
                <a:schemeClr val="accent1"/>
              </a:solidFill>
            </a:ln>
          </c:spPr>
          <c:invertIfNegative val="0"/>
          <c:cat>
            <c:strRef>
              <c:f>'NS beam trawl under 300kW'!$L$139:$N$139</c:f>
              <c:strCache>
                <c:ptCount val="3"/>
                <c:pt idx="0">
                  <c:v>Most
profitable
quartile</c:v>
                </c:pt>
                <c:pt idx="1">
                  <c:v>Middle
two quartiles</c:v>
                </c:pt>
                <c:pt idx="2">
                  <c:v>Least
profitable
quartile</c:v>
                </c:pt>
              </c:strCache>
            </c:strRef>
          </c:cat>
          <c:val>
            <c:numRef>
              <c:f>'NS beam trawl under 300kW'!$L$140:$N$140</c:f>
              <c:numCache>
                <c:formatCode>#,##0</c:formatCode>
                <c:ptCount val="3"/>
                <c:pt idx="0">
                  <c:v>0</c:v>
                </c:pt>
                <c:pt idx="1">
                  <c:v>76.676332465277795</c:v>
                </c:pt>
                <c:pt idx="2">
                  <c:v>0</c:v>
                </c:pt>
              </c:numCache>
            </c:numRef>
          </c:val>
          <c:extLst>
            <c:ext xmlns:c16="http://schemas.microsoft.com/office/drawing/2014/chart" uri="{C3380CC4-5D6E-409C-BE32-E72D297353CC}">
              <c16:uniqueId val="{00000000-8780-4D4D-B75E-5CF14A34D115}"/>
            </c:ext>
          </c:extLst>
        </c:ser>
        <c:ser>
          <c:idx val="1"/>
          <c:order val="1"/>
          <c:tx>
            <c:strRef>
              <c:f>'NS beam trawl under 300kW'!$K$141</c:f>
              <c:strCache>
                <c:ptCount val="1"/>
                <c:pt idx="0">
                  <c:v>Operating costs</c:v>
                </c:pt>
              </c:strCache>
            </c:strRef>
          </c:tx>
          <c:spPr>
            <a:solidFill>
              <a:srgbClr val="E87308"/>
            </a:solidFill>
          </c:spPr>
          <c:invertIfNegative val="0"/>
          <c:cat>
            <c:strRef>
              <c:f>'NS beam trawl under 300kW'!$L$139:$N$139</c:f>
              <c:strCache>
                <c:ptCount val="3"/>
                <c:pt idx="0">
                  <c:v>Most
profitable
quartile</c:v>
                </c:pt>
                <c:pt idx="1">
                  <c:v>Middle
two quartiles</c:v>
                </c:pt>
                <c:pt idx="2">
                  <c:v>Least
profitable
quartile</c:v>
                </c:pt>
              </c:strCache>
            </c:strRef>
          </c:cat>
          <c:val>
            <c:numRef>
              <c:f>'NS beam trawl under 300kW'!$L$141:$N$141</c:f>
              <c:numCache>
                <c:formatCode>#,##0</c:formatCode>
                <c:ptCount val="3"/>
                <c:pt idx="0">
                  <c:v>0</c:v>
                </c:pt>
                <c:pt idx="1">
                  <c:v>75.065731770833295</c:v>
                </c:pt>
                <c:pt idx="2">
                  <c:v>0</c:v>
                </c:pt>
              </c:numCache>
            </c:numRef>
          </c:val>
          <c:extLst>
            <c:ext xmlns:c16="http://schemas.microsoft.com/office/drawing/2014/chart" uri="{C3380CC4-5D6E-409C-BE32-E72D297353CC}">
              <c16:uniqueId val="{00000001-8780-4D4D-B75E-5CF14A34D115}"/>
            </c:ext>
          </c:extLst>
        </c:ser>
        <c:ser>
          <c:idx val="2"/>
          <c:order val="2"/>
          <c:tx>
            <c:strRef>
              <c:f>'NS beam trawl under 300kW'!$K$142</c:f>
              <c:strCache>
                <c:ptCount val="1"/>
                <c:pt idx="0">
                  <c:v>Operating profit</c:v>
                </c:pt>
              </c:strCache>
            </c:strRef>
          </c:tx>
          <c:spPr>
            <a:solidFill>
              <a:srgbClr val="51AA81"/>
            </a:solidFill>
          </c:spPr>
          <c:invertIfNegative val="0"/>
          <c:cat>
            <c:strRef>
              <c:f>'NS beam trawl under 300kW'!$L$139:$N$139</c:f>
              <c:strCache>
                <c:ptCount val="3"/>
                <c:pt idx="0">
                  <c:v>Most
profitable
quartile</c:v>
                </c:pt>
                <c:pt idx="1">
                  <c:v>Middle
two quartiles</c:v>
                </c:pt>
                <c:pt idx="2">
                  <c:v>Least
profitable
quartile</c:v>
                </c:pt>
              </c:strCache>
            </c:strRef>
          </c:cat>
          <c:val>
            <c:numRef>
              <c:f>'NS beam trawl under 300kW'!$L$142:$N$142</c:f>
              <c:numCache>
                <c:formatCode>#,##0</c:formatCode>
                <c:ptCount val="3"/>
                <c:pt idx="0">
                  <c:v>0</c:v>
                </c:pt>
                <c:pt idx="1">
                  <c:v>1.61060069444445</c:v>
                </c:pt>
                <c:pt idx="2">
                  <c:v>0</c:v>
                </c:pt>
              </c:numCache>
            </c:numRef>
          </c:val>
          <c:extLst>
            <c:ext xmlns:c16="http://schemas.microsoft.com/office/drawing/2014/chart" uri="{C3380CC4-5D6E-409C-BE32-E72D297353CC}">
              <c16:uniqueId val="{00000002-8780-4D4D-B75E-5CF14A34D11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beam trawl under 300kW'!$K$143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300kW'!$A$49</c:f>
          <c:strCache>
            <c:ptCount val="1"/>
            <c:pt idx="0">
              <c:v>Landings per kW day at sea (kg)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CC98-4ADD-BBD5-7EB57639AE14}"/>
              </c:ext>
            </c:extLst>
          </c:dPt>
          <c:dPt>
            <c:idx val="10"/>
            <c:bubble3D val="0"/>
            <c:spPr>
              <a:ln w="57150">
                <a:solidFill>
                  <a:srgbClr val="2273B9"/>
                </a:solidFill>
                <a:prstDash val="sysDot"/>
              </a:ln>
            </c:spPr>
            <c:extLst>
              <c:ext xmlns:c16="http://schemas.microsoft.com/office/drawing/2014/chart" uri="{C3380CC4-5D6E-409C-BE32-E72D297353CC}">
                <c16:uniqueId val="{00000003-CC98-4ADD-BBD5-7EB57639AE14}"/>
              </c:ext>
            </c:extLst>
          </c:dPt>
          <c:cat>
            <c:numRef>
              <c:f>'NS nephrops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over 300kW'!$D$22:$N$22</c:f>
              <c:numCache>
                <c:formatCode>#,##0.00</c:formatCode>
                <c:ptCount val="11"/>
                <c:pt idx="0">
                  <c:v>2.5428563450425679</c:v>
                </c:pt>
                <c:pt idx="1">
                  <c:v>2.6160266558667833</c:v>
                </c:pt>
                <c:pt idx="2">
                  <c:v>2.7120510853008399</c:v>
                </c:pt>
                <c:pt idx="3">
                  <c:v>2.3938808048586151</c:v>
                </c:pt>
                <c:pt idx="4">
                  <c:v>2.571719803006042</c:v>
                </c:pt>
                <c:pt idx="5">
                  <c:v>3.0263660066430669</c:v>
                </c:pt>
                <c:pt idx="6">
                  <c:v>3.0436136768320288</c:v>
                </c:pt>
                <c:pt idx="7">
                  <c:v>3.2888648912051801</c:v>
                </c:pt>
                <c:pt idx="8">
                  <c:v>3.1472824168744631</c:v>
                </c:pt>
                <c:pt idx="9">
                  <c:v>3.1469341203342047</c:v>
                </c:pt>
                <c:pt idx="10">
                  <c:v>2.960670920202968</c:v>
                </c:pt>
              </c:numCache>
            </c:numRef>
          </c:val>
          <c:smooth val="0"/>
          <c:extLst>
            <c:ext xmlns:c16="http://schemas.microsoft.com/office/drawing/2014/chart" uri="{C3380CC4-5D6E-409C-BE32-E72D297353CC}">
              <c16:uniqueId val="{00000004-CC98-4ADD-BBD5-7EB57639AE14}"/>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300kW'!$A$50</c:f>
          <c:strCache>
            <c:ptCount val="1"/>
            <c:pt idx="0">
              <c:v>Fishing income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9C96-4437-9396-5BC9764DD191}"/>
              </c:ext>
            </c:extLst>
          </c:dPt>
          <c:dPt>
            <c:idx val="10"/>
            <c:bubble3D val="0"/>
            <c:spPr>
              <a:ln w="57150">
                <a:solidFill>
                  <a:srgbClr val="648C2E"/>
                </a:solidFill>
                <a:prstDash val="sysDot"/>
              </a:ln>
            </c:spPr>
            <c:extLst>
              <c:ext xmlns:c16="http://schemas.microsoft.com/office/drawing/2014/chart" uri="{C3380CC4-5D6E-409C-BE32-E72D297353CC}">
                <c16:uniqueId val="{00000003-9C96-4437-9396-5BC9764DD191}"/>
              </c:ext>
            </c:extLst>
          </c:dPt>
          <c:cat>
            <c:numRef>
              <c:f>'NS nephrops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over 300kW'!$D$23:$N$23</c:f>
              <c:numCache>
                <c:formatCode>#,##0.00</c:formatCode>
                <c:ptCount val="11"/>
                <c:pt idx="0">
                  <c:v>8.2720289986649504</c:v>
                </c:pt>
                <c:pt idx="1">
                  <c:v>6.7331615795347703</c:v>
                </c:pt>
                <c:pt idx="2">
                  <c:v>8.0039826202290794</c:v>
                </c:pt>
                <c:pt idx="3">
                  <c:v>6.38299180899521</c:v>
                </c:pt>
                <c:pt idx="4">
                  <c:v>7.8515066040305603</c:v>
                </c:pt>
                <c:pt idx="5">
                  <c:v>9.13442126808574</c:v>
                </c:pt>
                <c:pt idx="6">
                  <c:v>8.1728844751197194</c:v>
                </c:pt>
                <c:pt idx="7">
                  <c:v>9.1738688066239593</c:v>
                </c:pt>
                <c:pt idx="8">
                  <c:v>6.34107248623459</c:v>
                </c:pt>
                <c:pt idx="9">
                  <c:v>7.8088351881640197</c:v>
                </c:pt>
                <c:pt idx="10">
                  <c:v>8.8613390401628216</c:v>
                </c:pt>
              </c:numCache>
            </c:numRef>
          </c:val>
          <c:smooth val="0"/>
          <c:extLst>
            <c:ext xmlns:c16="http://schemas.microsoft.com/office/drawing/2014/chart" uri="{C3380CC4-5D6E-409C-BE32-E72D297353CC}">
              <c16:uniqueId val="{00000004-9C96-4437-9396-5BC9764DD19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300kW'!$B$63</c:f>
          <c:strCache>
            <c:ptCount val="1"/>
            <c:pt idx="0">
              <c:v>Total cost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54B-40E5-BC56-251788A83BD3}"/>
              </c:ext>
            </c:extLst>
          </c:dPt>
          <c:dPt>
            <c:idx val="10"/>
            <c:bubble3D val="0"/>
            <c:spPr>
              <a:ln w="57150">
                <a:solidFill>
                  <a:srgbClr val="087CBB"/>
                </a:solidFill>
                <a:prstDash val="sysDot"/>
              </a:ln>
            </c:spPr>
            <c:extLst>
              <c:ext xmlns:c16="http://schemas.microsoft.com/office/drawing/2014/chart" uri="{C3380CC4-5D6E-409C-BE32-E72D297353CC}">
                <c16:uniqueId val="{00000003-354B-40E5-BC56-251788A83BD3}"/>
              </c:ext>
            </c:extLst>
          </c:dPt>
          <c:cat>
            <c:numRef>
              <c:f>'NS nephrops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over 300kW'!$D$24:$N$24</c:f>
              <c:numCache>
                <c:formatCode>#,##0.00</c:formatCode>
                <c:ptCount val="11"/>
                <c:pt idx="0">
                  <c:v>7.7788346343516501</c:v>
                </c:pt>
                <c:pt idx="1">
                  <c:v>6.4446583138477198</c:v>
                </c:pt>
                <c:pt idx="2">
                  <c:v>7.8267815629688098</c:v>
                </c:pt>
                <c:pt idx="3">
                  <c:v>6.0993752674776003</c:v>
                </c:pt>
                <c:pt idx="4">
                  <c:v>7.24393106171149</c:v>
                </c:pt>
                <c:pt idx="5">
                  <c:v>8.3001165047587406</c:v>
                </c:pt>
                <c:pt idx="6">
                  <c:v>8.4096383330606095</c:v>
                </c:pt>
                <c:pt idx="7">
                  <c:v>8.4243544359607903</c:v>
                </c:pt>
                <c:pt idx="8">
                  <c:v>6.4648818305572604</c:v>
                </c:pt>
                <c:pt idx="9">
                  <c:v>7.4530443008084797</c:v>
                </c:pt>
                <c:pt idx="10">
                  <c:v>9.0099981603392436</c:v>
                </c:pt>
              </c:numCache>
            </c:numRef>
          </c:val>
          <c:smooth val="0"/>
          <c:extLst>
            <c:ext xmlns:c16="http://schemas.microsoft.com/office/drawing/2014/chart" uri="{C3380CC4-5D6E-409C-BE32-E72D297353CC}">
              <c16:uniqueId val="{00000004-354B-40E5-BC56-251788A83BD3}"/>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300kW'!$K$49</c:f>
          <c:strCache>
            <c:ptCount val="1"/>
            <c:pt idx="0">
              <c:v>Operating profit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D7DD-4EE4-860F-5BBDFA574907}"/>
              </c:ext>
            </c:extLst>
          </c:dPt>
          <c:dPt>
            <c:idx val="10"/>
            <c:bubble3D val="0"/>
            <c:spPr>
              <a:ln w="57150">
                <a:solidFill>
                  <a:schemeClr val="accent3"/>
                </a:solidFill>
                <a:prstDash val="sysDot"/>
              </a:ln>
            </c:spPr>
            <c:extLst>
              <c:ext xmlns:c16="http://schemas.microsoft.com/office/drawing/2014/chart" uri="{C3380CC4-5D6E-409C-BE32-E72D297353CC}">
                <c16:uniqueId val="{00000003-D7DD-4EE4-860F-5BBDFA574907}"/>
              </c:ext>
            </c:extLst>
          </c:dPt>
          <c:cat>
            <c:numRef>
              <c:f>'NS nephrops over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over 300kW'!$D$25:$N$25</c:f>
              <c:numCache>
                <c:formatCode>#,##0.00</c:formatCode>
                <c:ptCount val="11"/>
                <c:pt idx="0">
                  <c:v>0.88442350970366701</c:v>
                </c:pt>
                <c:pt idx="1">
                  <c:v>0.61546639125900404</c:v>
                </c:pt>
                <c:pt idx="2">
                  <c:v>0.67477547005844096</c:v>
                </c:pt>
                <c:pt idx="3">
                  <c:v>0.67505161412121695</c:v>
                </c:pt>
                <c:pt idx="4">
                  <c:v>0.80977254632256801</c:v>
                </c:pt>
                <c:pt idx="5">
                  <c:v>1.1450071330251801</c:v>
                </c:pt>
                <c:pt idx="6">
                  <c:v>6.7320396758599493E-2</c:v>
                </c:pt>
                <c:pt idx="7">
                  <c:v>1.08765342889491</c:v>
                </c:pt>
                <c:pt idx="8">
                  <c:v>0.39340383668561102</c:v>
                </c:pt>
                <c:pt idx="9">
                  <c:v>0.72657227798851798</c:v>
                </c:pt>
                <c:pt idx="10">
                  <c:v>0.27209756256593087</c:v>
                </c:pt>
              </c:numCache>
            </c:numRef>
          </c:val>
          <c:smooth val="0"/>
          <c:extLst>
            <c:ext xmlns:c16="http://schemas.microsoft.com/office/drawing/2014/chart" uri="{C3380CC4-5D6E-409C-BE32-E72D297353CC}">
              <c16:uniqueId val="{00000004-D7DD-4EE4-860F-5BBDFA574907}"/>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300kW'!$A$51</c:f>
          <c:strCache>
            <c:ptCount val="1"/>
            <c:pt idx="0">
              <c:v>Average price per tonne landed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BD00-4AA0-BDD2-4F8C99547AE0}"/>
              </c:ext>
            </c:extLst>
          </c:dPt>
          <c:dPt>
            <c:idx val="10"/>
            <c:bubble3D val="0"/>
            <c:spPr>
              <a:ln w="57150">
                <a:solidFill>
                  <a:schemeClr val="accent4"/>
                </a:solidFill>
                <a:prstDash val="sysDot"/>
              </a:ln>
            </c:spPr>
            <c:extLst>
              <c:ext xmlns:c16="http://schemas.microsoft.com/office/drawing/2014/chart" uri="{C3380CC4-5D6E-409C-BE32-E72D297353CC}">
                <c16:uniqueId val="{00000003-BD00-4AA0-BDD2-4F8C99547AE0}"/>
              </c:ext>
            </c:extLst>
          </c:dPt>
          <c:cat>
            <c:numRef>
              <c:f>'NS nephrops over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300kW'!$D$21:$N$21</c:f>
              <c:numCache>
                <c:formatCode>#,##0</c:formatCode>
                <c:ptCount val="11"/>
                <c:pt idx="0">
                  <c:v>3253</c:v>
                </c:pt>
                <c:pt idx="1">
                  <c:v>2574</c:v>
                </c:pt>
                <c:pt idx="2">
                  <c:v>2951</c:v>
                </c:pt>
                <c:pt idx="3">
                  <c:v>2666</c:v>
                </c:pt>
                <c:pt idx="4">
                  <c:v>3053</c:v>
                </c:pt>
                <c:pt idx="5">
                  <c:v>3018</c:v>
                </c:pt>
                <c:pt idx="6">
                  <c:v>2685</c:v>
                </c:pt>
                <c:pt idx="7">
                  <c:v>2789</c:v>
                </c:pt>
                <c:pt idx="8">
                  <c:v>2015</c:v>
                </c:pt>
                <c:pt idx="9">
                  <c:v>2481</c:v>
                </c:pt>
                <c:pt idx="10">
                  <c:v>2993</c:v>
                </c:pt>
              </c:numCache>
            </c:numRef>
          </c:val>
          <c:smooth val="0"/>
          <c:extLst>
            <c:ext xmlns:c16="http://schemas.microsoft.com/office/drawing/2014/chart" uri="{C3380CC4-5D6E-409C-BE32-E72D297353CC}">
              <c16:uniqueId val="{00000004-BD00-4AA0-BDD2-4F8C99547AE0}"/>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300kW'!$K$63</c:f>
          <c:strCache>
            <c:ptCount val="1"/>
            <c:pt idx="0">
              <c:v>Average annual operating profit per vessel (£'000)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169-40A5-A293-93B1B2DDF546}"/>
              </c:ext>
            </c:extLst>
          </c:dPt>
          <c:dPt>
            <c:idx val="10"/>
            <c:bubble3D val="0"/>
            <c:spPr>
              <a:ln w="57150">
                <a:solidFill>
                  <a:schemeClr val="accent5"/>
                </a:solidFill>
                <a:prstDash val="sysDot"/>
              </a:ln>
            </c:spPr>
            <c:extLst>
              <c:ext xmlns:c16="http://schemas.microsoft.com/office/drawing/2014/chart" uri="{C3380CC4-5D6E-409C-BE32-E72D297353CC}">
                <c16:uniqueId val="{00000003-6169-40A5-A293-93B1B2DDF546}"/>
              </c:ext>
            </c:extLst>
          </c:dPt>
          <c:cat>
            <c:numRef>
              <c:f>'NS nephrops over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300kW'!$D$38:$N$38</c:f>
              <c:numCache>
                <c:formatCode>#,##0.0</c:formatCode>
                <c:ptCount val="11"/>
                <c:pt idx="0">
                  <c:v>66.099999999999994</c:v>
                </c:pt>
                <c:pt idx="1">
                  <c:v>45.6</c:v>
                </c:pt>
                <c:pt idx="2">
                  <c:v>55.8</c:v>
                </c:pt>
                <c:pt idx="3">
                  <c:v>48.8</c:v>
                </c:pt>
                <c:pt idx="4">
                  <c:v>70.5</c:v>
                </c:pt>
                <c:pt idx="5">
                  <c:v>101.7</c:v>
                </c:pt>
                <c:pt idx="6">
                  <c:v>5.7</c:v>
                </c:pt>
                <c:pt idx="7">
                  <c:v>98.8</c:v>
                </c:pt>
                <c:pt idx="8">
                  <c:v>28.8</c:v>
                </c:pt>
                <c:pt idx="9">
                  <c:v>64.5</c:v>
                </c:pt>
                <c:pt idx="10">
                  <c:v>22.8</c:v>
                </c:pt>
              </c:numCache>
            </c:numRef>
          </c:val>
          <c:smooth val="0"/>
          <c:extLst>
            <c:ext xmlns:c16="http://schemas.microsoft.com/office/drawing/2014/chart" uri="{C3380CC4-5D6E-409C-BE32-E72D297353CC}">
              <c16:uniqueId val="{00000004-6169-40A5-A293-93B1B2DDF54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300kW'!$A$77</c:f>
          <c:strCache>
            <c:ptCount val="1"/>
            <c:pt idx="0">
              <c:v>Top 5 landed species by volume in 2021
North Sea nephrops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29B-46D9-A1D3-9799344A0EF3}"/>
              </c:ext>
            </c:extLst>
          </c:dPt>
          <c:dPt>
            <c:idx val="1"/>
            <c:bubble3D val="0"/>
            <c:spPr>
              <a:solidFill>
                <a:srgbClr val="E87308"/>
              </a:solidFill>
              <a:ln>
                <a:solidFill>
                  <a:srgbClr val="FFFFFF"/>
                </a:solidFill>
              </a:ln>
            </c:spPr>
            <c:extLst>
              <c:ext xmlns:c16="http://schemas.microsoft.com/office/drawing/2014/chart" uri="{C3380CC4-5D6E-409C-BE32-E72D297353CC}">
                <c16:uniqueId val="{00000003-229B-46D9-A1D3-9799344A0EF3}"/>
              </c:ext>
            </c:extLst>
          </c:dPt>
          <c:dPt>
            <c:idx val="2"/>
            <c:bubble3D val="0"/>
            <c:spPr>
              <a:solidFill>
                <a:srgbClr val="648C2E"/>
              </a:solidFill>
              <a:ln>
                <a:solidFill>
                  <a:srgbClr val="FFFFFF"/>
                </a:solidFill>
              </a:ln>
            </c:spPr>
            <c:extLst>
              <c:ext xmlns:c16="http://schemas.microsoft.com/office/drawing/2014/chart" uri="{C3380CC4-5D6E-409C-BE32-E72D297353CC}">
                <c16:uniqueId val="{00000005-229B-46D9-A1D3-9799344A0EF3}"/>
              </c:ext>
            </c:extLst>
          </c:dPt>
          <c:dPt>
            <c:idx val="3"/>
            <c:bubble3D val="0"/>
            <c:spPr>
              <a:solidFill>
                <a:srgbClr val="C1D119"/>
              </a:solidFill>
              <a:ln>
                <a:solidFill>
                  <a:srgbClr val="FFFFFF"/>
                </a:solidFill>
              </a:ln>
            </c:spPr>
            <c:extLst>
              <c:ext xmlns:c16="http://schemas.microsoft.com/office/drawing/2014/chart" uri="{C3380CC4-5D6E-409C-BE32-E72D297353CC}">
                <c16:uniqueId val="{00000007-229B-46D9-A1D3-9799344A0EF3}"/>
              </c:ext>
            </c:extLst>
          </c:dPt>
          <c:dPt>
            <c:idx val="4"/>
            <c:bubble3D val="0"/>
            <c:spPr>
              <a:solidFill>
                <a:srgbClr val="0F9AA9"/>
              </a:solidFill>
              <a:ln>
                <a:solidFill>
                  <a:srgbClr val="FFFFFF"/>
                </a:solidFill>
              </a:ln>
            </c:spPr>
            <c:extLst>
              <c:ext xmlns:c16="http://schemas.microsoft.com/office/drawing/2014/chart" uri="{C3380CC4-5D6E-409C-BE32-E72D297353CC}">
                <c16:uniqueId val="{00000009-229B-46D9-A1D3-9799344A0EF3}"/>
              </c:ext>
            </c:extLst>
          </c:dPt>
          <c:dPt>
            <c:idx val="5"/>
            <c:bubble3D val="0"/>
            <c:spPr>
              <a:solidFill>
                <a:srgbClr val="55585A"/>
              </a:solidFill>
              <a:ln>
                <a:solidFill>
                  <a:srgbClr val="FFFFFF"/>
                </a:solidFill>
              </a:ln>
            </c:spPr>
            <c:extLst>
              <c:ext xmlns:c16="http://schemas.microsoft.com/office/drawing/2014/chart" uri="{C3380CC4-5D6E-409C-BE32-E72D297353CC}">
                <c16:uniqueId val="{0000000B-229B-46D9-A1D3-9799344A0EF3}"/>
              </c:ext>
            </c:extLst>
          </c:dPt>
          <c:cat>
            <c:strRef>
              <c:f>'NS nephrops over 300kW'!$B$78:$B$83</c:f>
              <c:strCache>
                <c:ptCount val="6"/>
                <c:pt idx="0">
                  <c:v>Nephrops - 54.1%</c:v>
                </c:pt>
                <c:pt idx="1">
                  <c:v>Anglerfish - 13.6%</c:v>
                </c:pt>
                <c:pt idx="2">
                  <c:v>Whiting - 9.2%</c:v>
                </c:pt>
                <c:pt idx="3">
                  <c:v>Haddock - 9.1%</c:v>
                </c:pt>
                <c:pt idx="4">
                  <c:v>Witch - 2.4%</c:v>
                </c:pt>
                <c:pt idx="5">
                  <c:v>Others - 11.6%</c:v>
                </c:pt>
              </c:strCache>
            </c:strRef>
          </c:cat>
          <c:val>
            <c:numRef>
              <c:f>'NS nephrops over 300kW'!$C$78:$C$83</c:f>
              <c:numCache>
                <c:formatCode>0.0%</c:formatCode>
                <c:ptCount val="6"/>
                <c:pt idx="0">
                  <c:v>0.5407296369554111</c:v>
                </c:pt>
                <c:pt idx="1">
                  <c:v>0.13569345162190405</c:v>
                </c:pt>
                <c:pt idx="2">
                  <c:v>9.2073425206450676E-2</c:v>
                </c:pt>
                <c:pt idx="3">
                  <c:v>9.1118998059615458E-2</c:v>
                </c:pt>
                <c:pt idx="4">
                  <c:v>2.4407120754559343E-2</c:v>
                </c:pt>
                <c:pt idx="5">
                  <c:v>0.11597736740205944</c:v>
                </c:pt>
              </c:numCache>
            </c:numRef>
          </c:val>
          <c:extLst>
            <c:ext xmlns:c16="http://schemas.microsoft.com/office/drawing/2014/chart" uri="{C3380CC4-5D6E-409C-BE32-E72D297353CC}">
              <c16:uniqueId val="{0000000C-229B-46D9-A1D3-9799344A0EF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o250kW'!$A$50</c:f>
          <c:strCache>
            <c:ptCount val="1"/>
            <c:pt idx="0">
              <c:v>Fishing income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D06A-4650-BD24-0CCA660310DE}"/>
              </c:ext>
            </c:extLst>
          </c:dPt>
          <c:dPt>
            <c:idx val="10"/>
            <c:bubble3D val="0"/>
            <c:spPr>
              <a:ln w="57150">
                <a:solidFill>
                  <a:srgbClr val="648C2E"/>
                </a:solidFill>
                <a:prstDash val="sysDot"/>
              </a:ln>
            </c:spPr>
            <c:extLst>
              <c:ext xmlns:c16="http://schemas.microsoft.com/office/drawing/2014/chart" uri="{C3380CC4-5D6E-409C-BE32-E72D297353CC}">
                <c16:uniqueId val="{00000003-D06A-4650-BD24-0CCA660310DE}"/>
              </c:ext>
            </c:extLst>
          </c:dPt>
          <c:cat>
            <c:numRef>
              <c:f>'Area VIIa nephrops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o250kW'!$D$23:$N$23</c:f>
              <c:numCache>
                <c:formatCode>#,##0.00</c:formatCode>
                <c:ptCount val="11"/>
                <c:pt idx="0">
                  <c:v>6.7569985465255096</c:v>
                </c:pt>
                <c:pt idx="1">
                  <c:v>5.1759213621332103</c:v>
                </c:pt>
                <c:pt idx="2">
                  <c:v>5.4458010137526696</c:v>
                </c:pt>
                <c:pt idx="3">
                  <c:v>5.6136775721409604</c:v>
                </c:pt>
                <c:pt idx="4">
                  <c:v>6.0358047026777397</c:v>
                </c:pt>
                <c:pt idx="5">
                  <c:v>6.2402597133555302</c:v>
                </c:pt>
                <c:pt idx="6">
                  <c:v>5.6426128612164703</c:v>
                </c:pt>
                <c:pt idx="7">
                  <c:v>6.7945375745794196</c:v>
                </c:pt>
                <c:pt idx="8">
                  <c:v>5.3365476749396299</c:v>
                </c:pt>
                <c:pt idx="9">
                  <c:v>5.4985352267110104</c:v>
                </c:pt>
                <c:pt idx="10">
                  <c:v>7.2482493693466319</c:v>
                </c:pt>
              </c:numCache>
            </c:numRef>
          </c:val>
          <c:smooth val="0"/>
          <c:extLst>
            <c:ext xmlns:c16="http://schemas.microsoft.com/office/drawing/2014/chart" uri="{C3380CC4-5D6E-409C-BE32-E72D297353CC}">
              <c16:uniqueId val="{00000004-D06A-4650-BD24-0CCA660310D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300kW'!$F$77</c:f>
          <c:strCache>
            <c:ptCount val="1"/>
            <c:pt idx="0">
              <c:v>Top 5 landed species by value in 2021
North Sea nephrops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109-40E2-9907-F4EBD82DAADC}"/>
              </c:ext>
            </c:extLst>
          </c:dPt>
          <c:dPt>
            <c:idx val="1"/>
            <c:bubble3D val="0"/>
            <c:spPr>
              <a:solidFill>
                <a:srgbClr val="E87308"/>
              </a:solidFill>
              <a:ln>
                <a:solidFill>
                  <a:srgbClr val="FFFFFF"/>
                </a:solidFill>
              </a:ln>
            </c:spPr>
            <c:extLst>
              <c:ext xmlns:c16="http://schemas.microsoft.com/office/drawing/2014/chart" uri="{C3380CC4-5D6E-409C-BE32-E72D297353CC}">
                <c16:uniqueId val="{00000003-C109-40E2-9907-F4EBD82DAADC}"/>
              </c:ext>
            </c:extLst>
          </c:dPt>
          <c:dPt>
            <c:idx val="2"/>
            <c:bubble3D val="0"/>
            <c:spPr>
              <a:solidFill>
                <a:srgbClr val="648C2E"/>
              </a:solidFill>
              <a:ln>
                <a:solidFill>
                  <a:srgbClr val="FFFFFF"/>
                </a:solidFill>
              </a:ln>
            </c:spPr>
            <c:extLst>
              <c:ext xmlns:c16="http://schemas.microsoft.com/office/drawing/2014/chart" uri="{C3380CC4-5D6E-409C-BE32-E72D297353CC}">
                <c16:uniqueId val="{00000005-C109-40E2-9907-F4EBD82DAADC}"/>
              </c:ext>
            </c:extLst>
          </c:dPt>
          <c:dPt>
            <c:idx val="3"/>
            <c:bubble3D val="0"/>
            <c:spPr>
              <a:solidFill>
                <a:srgbClr val="C1D119"/>
              </a:solidFill>
              <a:ln>
                <a:solidFill>
                  <a:srgbClr val="FFFFFF"/>
                </a:solidFill>
              </a:ln>
            </c:spPr>
            <c:extLst>
              <c:ext xmlns:c16="http://schemas.microsoft.com/office/drawing/2014/chart" uri="{C3380CC4-5D6E-409C-BE32-E72D297353CC}">
                <c16:uniqueId val="{00000007-C109-40E2-9907-F4EBD82DAADC}"/>
              </c:ext>
            </c:extLst>
          </c:dPt>
          <c:dPt>
            <c:idx val="4"/>
            <c:bubble3D val="0"/>
            <c:spPr>
              <a:solidFill>
                <a:srgbClr val="E84A38"/>
              </a:solidFill>
              <a:ln>
                <a:solidFill>
                  <a:srgbClr val="FFFFFF"/>
                </a:solidFill>
              </a:ln>
            </c:spPr>
            <c:extLst>
              <c:ext xmlns:c16="http://schemas.microsoft.com/office/drawing/2014/chart" uri="{C3380CC4-5D6E-409C-BE32-E72D297353CC}">
                <c16:uniqueId val="{00000009-C109-40E2-9907-F4EBD82DAADC}"/>
              </c:ext>
            </c:extLst>
          </c:dPt>
          <c:dPt>
            <c:idx val="5"/>
            <c:bubble3D val="0"/>
            <c:spPr>
              <a:solidFill>
                <a:srgbClr val="55585A"/>
              </a:solidFill>
              <a:ln>
                <a:solidFill>
                  <a:srgbClr val="FFFFFF"/>
                </a:solidFill>
              </a:ln>
            </c:spPr>
            <c:extLst>
              <c:ext xmlns:c16="http://schemas.microsoft.com/office/drawing/2014/chart" uri="{C3380CC4-5D6E-409C-BE32-E72D297353CC}">
                <c16:uniqueId val="{0000000B-C109-40E2-9907-F4EBD82DAADC}"/>
              </c:ext>
            </c:extLst>
          </c:dPt>
          <c:cat>
            <c:strRef>
              <c:f>'NS nephrops over 300kW'!$G$78:$G$83</c:f>
              <c:strCache>
                <c:ptCount val="6"/>
                <c:pt idx="0">
                  <c:v>Nephrops - 65.5%</c:v>
                </c:pt>
                <c:pt idx="1">
                  <c:v>Anglerfish - 15.6%</c:v>
                </c:pt>
                <c:pt idx="2">
                  <c:v>Whiting - 4.1%</c:v>
                </c:pt>
                <c:pt idx="3">
                  <c:v>Haddock - 3.4%</c:v>
                </c:pt>
                <c:pt idx="4">
                  <c:v>Cod - 2.2%</c:v>
                </c:pt>
                <c:pt idx="5">
                  <c:v>Others - 9.3%</c:v>
                </c:pt>
              </c:strCache>
            </c:strRef>
          </c:cat>
          <c:val>
            <c:numRef>
              <c:f>'NS nephrops over 300kW'!$H$78:$H$83</c:f>
              <c:numCache>
                <c:formatCode>0.0%</c:formatCode>
                <c:ptCount val="6"/>
                <c:pt idx="0">
                  <c:v>0.65497382902380108</c:v>
                </c:pt>
                <c:pt idx="1">
                  <c:v>0.15573753741884006</c:v>
                </c:pt>
                <c:pt idx="2">
                  <c:v>4.065788301788173E-2</c:v>
                </c:pt>
                <c:pt idx="3">
                  <c:v>3.3812383333615047E-2</c:v>
                </c:pt>
                <c:pt idx="4">
                  <c:v>2.187052918810381E-2</c:v>
                </c:pt>
                <c:pt idx="5">
                  <c:v>9.29478380177583E-2</c:v>
                </c:pt>
              </c:numCache>
            </c:numRef>
          </c:val>
          <c:extLst>
            <c:ext xmlns:c16="http://schemas.microsoft.com/office/drawing/2014/chart" uri="{C3380CC4-5D6E-409C-BE32-E72D297353CC}">
              <c16:uniqueId val="{0000000C-C109-40E2-9907-F4EBD82DAAD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over 300kW'!$C$93</c:f>
              <c:strCache>
                <c:ptCount val="1"/>
                <c:pt idx="0">
                  <c:v>Nephrops</c:v>
                </c:pt>
              </c:strCache>
            </c:strRef>
          </c:tx>
          <c:spPr>
            <a:solidFill>
              <a:srgbClr val="2273B9"/>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300kW'!$D$93:$M$93</c:f>
              <c:numCache>
                <c:formatCode>0%</c:formatCode>
                <c:ptCount val="10"/>
                <c:pt idx="0">
                  <c:v>0.66110998795345299</c:v>
                </c:pt>
                <c:pt idx="1">
                  <c:v>0.699040083080818</c:v>
                </c:pt>
                <c:pt idx="2">
                  <c:v>0.65963545836531601</c:v>
                </c:pt>
                <c:pt idx="3">
                  <c:v>0.64562898531129254</c:v>
                </c:pt>
                <c:pt idx="4">
                  <c:v>0.6139557961781521</c:v>
                </c:pt>
                <c:pt idx="5">
                  <c:v>0.56456621445342858</c:v>
                </c:pt>
                <c:pt idx="6">
                  <c:v>0.69917929250746758</c:v>
                </c:pt>
                <c:pt idx="7">
                  <c:v>0.61208426445117359</c:v>
                </c:pt>
                <c:pt idx="8">
                  <c:v>0.65497382902380108</c:v>
                </c:pt>
                <c:pt idx="9">
                  <c:v>0.70345887130896934</c:v>
                </c:pt>
              </c:numCache>
            </c:numRef>
          </c:val>
          <c:extLst>
            <c:ext xmlns:c16="http://schemas.microsoft.com/office/drawing/2014/chart" uri="{C3380CC4-5D6E-409C-BE32-E72D297353CC}">
              <c16:uniqueId val="{00000000-B9D5-4649-BDB5-5164FF97B98B}"/>
            </c:ext>
          </c:extLst>
        </c:ser>
        <c:ser>
          <c:idx val="1"/>
          <c:order val="1"/>
          <c:tx>
            <c:strRef>
              <c:f>'NS nephrops over 300kW'!$C$94</c:f>
              <c:strCache>
                <c:ptCount val="1"/>
                <c:pt idx="0">
                  <c:v>Anglerfish</c:v>
                </c:pt>
              </c:strCache>
            </c:strRef>
          </c:tx>
          <c:spPr>
            <a:solidFill>
              <a:srgbClr val="E87308"/>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300kW'!$D$94:$M$94</c:f>
              <c:numCache>
                <c:formatCode>0%</c:formatCode>
                <c:ptCount val="10"/>
                <c:pt idx="0">
                  <c:v>9.904566943708186E-2</c:v>
                </c:pt>
                <c:pt idx="1">
                  <c:v>8.6099776886047627E-2</c:v>
                </c:pt>
                <c:pt idx="2">
                  <c:v>0.12486852779745958</c:v>
                </c:pt>
                <c:pt idx="3">
                  <c:v>0.14431371882789709</c:v>
                </c:pt>
                <c:pt idx="4">
                  <c:v>0.14116998983649517</c:v>
                </c:pt>
                <c:pt idx="5">
                  <c:v>0.15269842833176003</c:v>
                </c:pt>
                <c:pt idx="6">
                  <c:v>9.6892934369682007E-2</c:v>
                </c:pt>
                <c:pt idx="7">
                  <c:v>0.13740750602265531</c:v>
                </c:pt>
                <c:pt idx="8">
                  <c:v>0.15573753741884006</c:v>
                </c:pt>
                <c:pt idx="9">
                  <c:v>0.13607887240660779</c:v>
                </c:pt>
              </c:numCache>
            </c:numRef>
          </c:val>
          <c:extLst>
            <c:ext xmlns:c16="http://schemas.microsoft.com/office/drawing/2014/chart" uri="{C3380CC4-5D6E-409C-BE32-E72D297353CC}">
              <c16:uniqueId val="{00000001-B9D5-4649-BDB5-5164FF97B98B}"/>
            </c:ext>
          </c:extLst>
        </c:ser>
        <c:ser>
          <c:idx val="2"/>
          <c:order val="2"/>
          <c:tx>
            <c:strRef>
              <c:f>'NS nephrops over 300kW'!$C$95</c:f>
              <c:strCache>
                <c:ptCount val="1"/>
                <c:pt idx="0">
                  <c:v>Whiting</c:v>
                </c:pt>
              </c:strCache>
            </c:strRef>
          </c:tx>
          <c:spPr>
            <a:solidFill>
              <a:srgbClr val="648C2E"/>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300kW'!$D$95:$M$95</c:f>
              <c:numCache>
                <c:formatCode>0%</c:formatCode>
                <c:ptCount val="10"/>
                <c:pt idx="0">
                  <c:v>4.8746238178689963E-2</c:v>
                </c:pt>
                <c:pt idx="1">
                  <c:v>4.0361269765523788E-2</c:v>
                </c:pt>
                <c:pt idx="2">
                  <c:v>3.5882168270989986E-2</c:v>
                </c:pt>
                <c:pt idx="3">
                  <c:v>3.1215668706571671E-2</c:v>
                </c:pt>
                <c:pt idx="4">
                  <c:v>3.2560514197381159E-2</c:v>
                </c:pt>
                <c:pt idx="5">
                  <c:v>3.4607033837878616E-2</c:v>
                </c:pt>
                <c:pt idx="6">
                  <c:v>3.3174138715943859E-2</c:v>
                </c:pt>
                <c:pt idx="7">
                  <c:v>4.1876487214942297E-2</c:v>
                </c:pt>
                <c:pt idx="8">
                  <c:v>4.065788301788173E-2</c:v>
                </c:pt>
                <c:pt idx="9">
                  <c:v>3.422436350245818E-2</c:v>
                </c:pt>
              </c:numCache>
            </c:numRef>
          </c:val>
          <c:extLst>
            <c:ext xmlns:c16="http://schemas.microsoft.com/office/drawing/2014/chart" uri="{C3380CC4-5D6E-409C-BE32-E72D297353CC}">
              <c16:uniqueId val="{00000002-B9D5-4649-BDB5-5164FF97B98B}"/>
            </c:ext>
          </c:extLst>
        </c:ser>
        <c:ser>
          <c:idx val="3"/>
          <c:order val="3"/>
          <c:tx>
            <c:strRef>
              <c:f>'NS nephrops over 300kW'!$C$96</c:f>
              <c:strCache>
                <c:ptCount val="1"/>
                <c:pt idx="0">
                  <c:v>Haddock</c:v>
                </c:pt>
              </c:strCache>
            </c:strRef>
          </c:tx>
          <c:spPr>
            <a:solidFill>
              <a:srgbClr val="C1D119"/>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300kW'!$D$96:$M$96</c:f>
              <c:numCache>
                <c:formatCode>0%</c:formatCode>
                <c:ptCount val="10"/>
                <c:pt idx="0">
                  <c:v>7.4661822072936104E-2</c:v>
                </c:pt>
                <c:pt idx="1">
                  <c:v>7.7717117100067803E-2</c:v>
                </c:pt>
                <c:pt idx="2">
                  <c:v>6.116708873072333E-2</c:v>
                </c:pt>
                <c:pt idx="3">
                  <c:v>4.4967208508893693E-2</c:v>
                </c:pt>
                <c:pt idx="4">
                  <c:v>4.1766812633001929E-2</c:v>
                </c:pt>
                <c:pt idx="5">
                  <c:v>5.171909712192526E-2</c:v>
                </c:pt>
                <c:pt idx="6">
                  <c:v>4.4105779920083729E-2</c:v>
                </c:pt>
                <c:pt idx="7">
                  <c:v>4.8427449888555921E-2</c:v>
                </c:pt>
                <c:pt idx="8">
                  <c:v>3.3812383333615047E-2</c:v>
                </c:pt>
                <c:pt idx="9">
                  <c:v>2.978287338740088E-2</c:v>
                </c:pt>
              </c:numCache>
            </c:numRef>
          </c:val>
          <c:extLst>
            <c:ext xmlns:c16="http://schemas.microsoft.com/office/drawing/2014/chart" uri="{C3380CC4-5D6E-409C-BE32-E72D297353CC}">
              <c16:uniqueId val="{00000003-B9D5-4649-BDB5-5164FF97B98B}"/>
            </c:ext>
          </c:extLst>
        </c:ser>
        <c:ser>
          <c:idx val="4"/>
          <c:order val="4"/>
          <c:tx>
            <c:strRef>
              <c:f>'NS nephrops over 300kW'!$C$97</c:f>
              <c:strCache>
                <c:ptCount val="1"/>
                <c:pt idx="0">
                  <c:v>Cod</c:v>
                </c:pt>
              </c:strCache>
            </c:strRef>
          </c:tx>
          <c:spPr>
            <a:solidFill>
              <a:srgbClr val="E84A38"/>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300kW'!$D$97:$M$97</c:f>
              <c:numCache>
                <c:formatCode>0%</c:formatCode>
                <c:ptCount val="10"/>
                <c:pt idx="0">
                  <c:v>2.7754665630213147E-2</c:v>
                </c:pt>
                <c:pt idx="1">
                  <c:v>2.2945797073296113E-2</c:v>
                </c:pt>
                <c:pt idx="3">
                  <c:v>3.1233599686603802E-2</c:v>
                </c:pt>
                <c:pt idx="4">
                  <c:v>4.7345984059888713E-2</c:v>
                </c:pt>
                <c:pt idx="5">
                  <c:v>4.0162829799899338E-2</c:v>
                </c:pt>
                <c:pt idx="6">
                  <c:v>3.5161169063842888E-2</c:v>
                </c:pt>
                <c:pt idx="7">
                  <c:v>3.071687513980631E-2</c:v>
                </c:pt>
                <c:pt idx="8">
                  <c:v>2.187052918810381E-2</c:v>
                </c:pt>
                <c:pt idx="9">
                  <c:v>2.5584919597981055E-2</c:v>
                </c:pt>
              </c:numCache>
            </c:numRef>
          </c:val>
          <c:extLst>
            <c:ext xmlns:c16="http://schemas.microsoft.com/office/drawing/2014/chart" uri="{C3380CC4-5D6E-409C-BE32-E72D297353CC}">
              <c16:uniqueId val="{00000004-B9D5-4649-BDB5-5164FF97B98B}"/>
            </c:ext>
          </c:extLst>
        </c:ser>
        <c:ser>
          <c:idx val="5"/>
          <c:order val="5"/>
          <c:tx>
            <c:strRef>
              <c:f>'NS nephrops over 300kW'!$C$98</c:f>
              <c:strCache>
                <c:ptCount val="1"/>
                <c:pt idx="0">
                  <c:v>Squid</c:v>
                </c:pt>
              </c:strCache>
            </c:strRef>
          </c:tx>
          <c:spPr>
            <a:solidFill>
              <a:srgbClr val="0F9AA9"/>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300kW'!$D$98:$M$98</c:f>
              <c:numCache>
                <c:formatCode>0%</c:formatCode>
                <c:ptCount val="10"/>
                <c:pt idx="2">
                  <c:v>2.8653189592609936E-2</c:v>
                </c:pt>
              </c:numCache>
            </c:numRef>
          </c:val>
          <c:extLst>
            <c:ext xmlns:c16="http://schemas.microsoft.com/office/drawing/2014/chart" uri="{C3380CC4-5D6E-409C-BE32-E72D297353CC}">
              <c16:uniqueId val="{00000005-B9D5-4649-BDB5-5164FF97B98B}"/>
            </c:ext>
          </c:extLst>
        </c:ser>
        <c:ser>
          <c:idx val="6"/>
          <c:order val="6"/>
          <c:tx>
            <c:strRef>
              <c:f>'NS nephrops over 300kW'!$C$99</c:f>
              <c:strCache>
                <c:ptCount val="1"/>
                <c:pt idx="0">
                  <c:v>Others</c:v>
                </c:pt>
              </c:strCache>
            </c:strRef>
          </c:tx>
          <c:spPr>
            <a:solidFill>
              <a:srgbClr val="55585A"/>
            </a:solidFill>
            <a:ln>
              <a:solidFill>
                <a:srgbClr val="FFFFFF"/>
              </a:solidFill>
            </a:ln>
          </c:spPr>
          <c:invertIfNegative val="0"/>
          <c:cat>
            <c:numRef>
              <c:f>'NS nephrops over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over 300kW'!$D$99:$M$99</c:f>
              <c:numCache>
                <c:formatCode>0%</c:formatCode>
                <c:ptCount val="10"/>
                <c:pt idx="0">
                  <c:v>8.8681616727625978E-2</c:v>
                </c:pt>
                <c:pt idx="1">
                  <c:v>7.383595609424666E-2</c:v>
                </c:pt>
                <c:pt idx="2">
                  <c:v>8.9793567242901107E-2</c:v>
                </c:pt>
                <c:pt idx="3">
                  <c:v>0.10264081895874121</c:v>
                </c:pt>
                <c:pt idx="4">
                  <c:v>0.12320090309508096</c:v>
                </c:pt>
                <c:pt idx="5">
                  <c:v>0.15624639645510816</c:v>
                </c:pt>
                <c:pt idx="6">
                  <c:v>9.1486685422979955E-2</c:v>
                </c:pt>
                <c:pt idx="7">
                  <c:v>0.12948741728286661</c:v>
                </c:pt>
                <c:pt idx="8">
                  <c:v>9.2947838017758216E-2</c:v>
                </c:pt>
                <c:pt idx="9">
                  <c:v>7.0870099796582806E-2</c:v>
                </c:pt>
              </c:numCache>
            </c:numRef>
          </c:val>
          <c:extLst>
            <c:ext xmlns:c16="http://schemas.microsoft.com/office/drawing/2014/chart" uri="{C3380CC4-5D6E-409C-BE32-E72D297353CC}">
              <c16:uniqueId val="{00000006-B9D5-4649-BDB5-5164FF97B98B}"/>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over 300kW'!$B$163</c:f>
              <c:strCache>
                <c:ptCount val="1"/>
                <c:pt idx="0">
                  <c:v>Nephrops</c:v>
                </c:pt>
              </c:strCache>
            </c:strRef>
          </c:tx>
          <c:spPr>
            <a:solidFill>
              <a:srgbClr val="2273B9"/>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300kW'!$C$163:$E$163</c:f>
              <c:numCache>
                <c:formatCode>0%</c:formatCode>
                <c:ptCount val="3"/>
                <c:pt idx="0">
                  <c:v>0.48491675500044534</c:v>
                </c:pt>
                <c:pt idx="1">
                  <c:v>0.56258823673700542</c:v>
                </c:pt>
                <c:pt idx="2">
                  <c:v>0.70450207865122927</c:v>
                </c:pt>
              </c:numCache>
            </c:numRef>
          </c:val>
          <c:extLst>
            <c:ext xmlns:c16="http://schemas.microsoft.com/office/drawing/2014/chart" uri="{C3380CC4-5D6E-409C-BE32-E72D297353CC}">
              <c16:uniqueId val="{00000000-6EC2-41ED-ADB5-B16F15F0E974}"/>
            </c:ext>
          </c:extLst>
        </c:ser>
        <c:ser>
          <c:idx val="1"/>
          <c:order val="1"/>
          <c:tx>
            <c:strRef>
              <c:f>'NS nephrops over 300kW'!$B$164</c:f>
              <c:strCache>
                <c:ptCount val="1"/>
                <c:pt idx="0">
                  <c:v>Anglerfish</c:v>
                </c:pt>
              </c:strCache>
            </c:strRef>
          </c:tx>
          <c:spPr>
            <a:solidFill>
              <a:srgbClr val="E87308"/>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300kW'!$C$164:$E$164</c:f>
              <c:numCache>
                <c:formatCode>0%</c:formatCode>
                <c:ptCount val="3"/>
                <c:pt idx="0">
                  <c:v>0.14328613497401385</c:v>
                </c:pt>
                <c:pt idx="1">
                  <c:v>0.14837890301753648</c:v>
                </c:pt>
                <c:pt idx="2">
                  <c:v>8.8034844809635138E-2</c:v>
                </c:pt>
              </c:numCache>
            </c:numRef>
          </c:val>
          <c:extLst>
            <c:ext xmlns:c16="http://schemas.microsoft.com/office/drawing/2014/chart" uri="{C3380CC4-5D6E-409C-BE32-E72D297353CC}">
              <c16:uniqueId val="{00000001-6EC2-41ED-ADB5-B16F15F0E974}"/>
            </c:ext>
          </c:extLst>
        </c:ser>
        <c:ser>
          <c:idx val="2"/>
          <c:order val="2"/>
          <c:tx>
            <c:strRef>
              <c:f>'NS nephrops over 300kW'!$B$165</c:f>
              <c:strCache>
                <c:ptCount val="1"/>
                <c:pt idx="0">
                  <c:v>Whiting</c:v>
                </c:pt>
              </c:strCache>
            </c:strRef>
          </c:tx>
          <c:spPr>
            <a:solidFill>
              <a:srgbClr val="648C2E"/>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300kW'!$C$165:$E$165</c:f>
              <c:numCache>
                <c:formatCode>0%</c:formatCode>
                <c:ptCount val="3"/>
                <c:pt idx="0">
                  <c:v>9.9766519291209221E-2</c:v>
                </c:pt>
                <c:pt idx="1">
                  <c:v>9.7998896268207056E-2</c:v>
                </c:pt>
                <c:pt idx="2">
                  <c:v>6.2377925392794138E-2</c:v>
                </c:pt>
              </c:numCache>
            </c:numRef>
          </c:val>
          <c:extLst>
            <c:ext xmlns:c16="http://schemas.microsoft.com/office/drawing/2014/chart" uri="{C3380CC4-5D6E-409C-BE32-E72D297353CC}">
              <c16:uniqueId val="{00000002-6EC2-41ED-ADB5-B16F15F0E974}"/>
            </c:ext>
          </c:extLst>
        </c:ser>
        <c:ser>
          <c:idx val="3"/>
          <c:order val="3"/>
          <c:tx>
            <c:strRef>
              <c:f>'NS nephrops over 300kW'!$B$166</c:f>
              <c:strCache>
                <c:ptCount val="1"/>
                <c:pt idx="0">
                  <c:v>Haddock</c:v>
                </c:pt>
              </c:strCache>
            </c:strRef>
          </c:tx>
          <c:spPr>
            <a:solidFill>
              <a:srgbClr val="C1D119"/>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300kW'!$C$166:$E$166</c:f>
              <c:numCache>
                <c:formatCode>0%</c:formatCode>
                <c:ptCount val="3"/>
                <c:pt idx="0">
                  <c:v>0.10956411787722291</c:v>
                </c:pt>
                <c:pt idx="1">
                  <c:v>9.1391490171298953E-2</c:v>
                </c:pt>
                <c:pt idx="2">
                  <c:v>5.1339416025235327E-2</c:v>
                </c:pt>
              </c:numCache>
            </c:numRef>
          </c:val>
          <c:extLst>
            <c:ext xmlns:c16="http://schemas.microsoft.com/office/drawing/2014/chart" uri="{C3380CC4-5D6E-409C-BE32-E72D297353CC}">
              <c16:uniqueId val="{00000003-6EC2-41ED-ADB5-B16F15F0E974}"/>
            </c:ext>
          </c:extLst>
        </c:ser>
        <c:ser>
          <c:idx val="4"/>
          <c:order val="4"/>
          <c:tx>
            <c:strRef>
              <c:f>'NS nephrops over 300kW'!$B$167</c:f>
              <c:strCache>
                <c:ptCount val="1"/>
                <c:pt idx="0">
                  <c:v>Witch</c:v>
                </c:pt>
              </c:strCache>
            </c:strRef>
          </c:tx>
          <c:spPr>
            <a:solidFill>
              <a:srgbClr val="0F9AA9"/>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300kW'!$C$167:$E$167</c:f>
              <c:numCache>
                <c:formatCode>0%</c:formatCode>
                <c:ptCount val="3"/>
                <c:pt idx="0">
                  <c:v>0</c:v>
                </c:pt>
                <c:pt idx="1">
                  <c:v>2.8040417582839185E-2</c:v>
                </c:pt>
                <c:pt idx="2">
                  <c:v>0</c:v>
                </c:pt>
              </c:numCache>
            </c:numRef>
          </c:val>
          <c:extLst>
            <c:ext xmlns:c16="http://schemas.microsoft.com/office/drawing/2014/chart" uri="{C3380CC4-5D6E-409C-BE32-E72D297353CC}">
              <c16:uniqueId val="{00000004-6EC2-41ED-ADB5-B16F15F0E974}"/>
            </c:ext>
          </c:extLst>
        </c:ser>
        <c:ser>
          <c:idx val="5"/>
          <c:order val="5"/>
          <c:tx>
            <c:strRef>
              <c:f>'NS nephrops over 300kW'!$B$168</c:f>
              <c:strCache>
                <c:ptCount val="1"/>
                <c:pt idx="0">
                  <c:v>Plaice</c:v>
                </c:pt>
              </c:strCache>
            </c:strRef>
          </c:tx>
          <c:spPr>
            <a:solidFill>
              <a:srgbClr val="FED825"/>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300kW'!$C$168:$E$168</c:f>
              <c:numCache>
                <c:formatCode>0%</c:formatCode>
                <c:ptCount val="3"/>
                <c:pt idx="0">
                  <c:v>0</c:v>
                </c:pt>
                <c:pt idx="1">
                  <c:v>0</c:v>
                </c:pt>
                <c:pt idx="2">
                  <c:v>1.6192216811074901E-2</c:v>
                </c:pt>
              </c:numCache>
            </c:numRef>
          </c:val>
          <c:extLst>
            <c:ext xmlns:c16="http://schemas.microsoft.com/office/drawing/2014/chart" uri="{C3380CC4-5D6E-409C-BE32-E72D297353CC}">
              <c16:uniqueId val="{00000005-6EC2-41ED-ADB5-B16F15F0E974}"/>
            </c:ext>
          </c:extLst>
        </c:ser>
        <c:ser>
          <c:idx val="6"/>
          <c:order val="6"/>
          <c:tx>
            <c:strRef>
              <c:f>'NS nephrops over 300kW'!$B$169</c:f>
              <c:strCache>
                <c:ptCount val="1"/>
                <c:pt idx="0">
                  <c:v>Saithe</c:v>
                </c:pt>
              </c:strCache>
            </c:strRef>
          </c:tx>
          <c:spPr>
            <a:solidFill>
              <a:srgbClr val="51AA81"/>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300kW'!$C$169:$E$169</c:f>
              <c:numCache>
                <c:formatCode>0%</c:formatCode>
                <c:ptCount val="3"/>
                <c:pt idx="0">
                  <c:v>3.3982296477762894E-2</c:v>
                </c:pt>
                <c:pt idx="1">
                  <c:v>0</c:v>
                </c:pt>
                <c:pt idx="2">
                  <c:v>0</c:v>
                </c:pt>
              </c:numCache>
            </c:numRef>
          </c:val>
          <c:extLst>
            <c:ext xmlns:c16="http://schemas.microsoft.com/office/drawing/2014/chart" uri="{C3380CC4-5D6E-409C-BE32-E72D297353CC}">
              <c16:uniqueId val="{00000006-6EC2-41ED-ADB5-B16F15F0E974}"/>
            </c:ext>
          </c:extLst>
        </c:ser>
        <c:ser>
          <c:idx val="7"/>
          <c:order val="7"/>
          <c:tx>
            <c:strRef>
              <c:f>'NS nephrops over 300kW'!$B$170</c:f>
              <c:strCache>
                <c:ptCount val="1"/>
                <c:pt idx="0">
                  <c:v>Others</c:v>
                </c:pt>
              </c:strCache>
            </c:strRef>
          </c:tx>
          <c:spPr>
            <a:solidFill>
              <a:srgbClr val="55585A"/>
            </a:solidFill>
            <a:ln>
              <a:solidFill>
                <a:srgbClr val="FFFFFF"/>
              </a:solidFill>
            </a:ln>
          </c:spPr>
          <c:invertIfNegative val="0"/>
          <c:cat>
            <c:strRef>
              <c:f>'NS nephrops over 300kW'!$C$162:$E$162</c:f>
              <c:strCache>
                <c:ptCount val="3"/>
                <c:pt idx="0">
                  <c:v>Most
profitable
quartile</c:v>
                </c:pt>
                <c:pt idx="1">
                  <c:v>Middle 
two quartiles</c:v>
                </c:pt>
                <c:pt idx="2">
                  <c:v>Least
profitable
quartile</c:v>
                </c:pt>
              </c:strCache>
            </c:strRef>
          </c:cat>
          <c:val>
            <c:numRef>
              <c:f>'NS nephrops over 300kW'!$C$170:$E$170</c:f>
              <c:numCache>
                <c:formatCode>0%</c:formatCode>
                <c:ptCount val="3"/>
                <c:pt idx="0">
                  <c:v>0.12848417637934595</c:v>
                </c:pt>
                <c:pt idx="1">
                  <c:v>7.1602056223112998E-2</c:v>
                </c:pt>
                <c:pt idx="2">
                  <c:v>7.7553518310031322E-2</c:v>
                </c:pt>
              </c:numCache>
            </c:numRef>
          </c:val>
          <c:extLst>
            <c:ext xmlns:c16="http://schemas.microsoft.com/office/drawing/2014/chart" uri="{C3380CC4-5D6E-409C-BE32-E72D297353CC}">
              <c16:uniqueId val="{00000007-6EC2-41ED-ADB5-B16F15F0E97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over 300kW'!$H$163</c:f>
              <c:strCache>
                <c:ptCount val="1"/>
                <c:pt idx="0">
                  <c:v>Nephrops</c:v>
                </c:pt>
              </c:strCache>
            </c:strRef>
          </c:tx>
          <c:spPr>
            <a:solidFill>
              <a:srgbClr val="2273B9"/>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300kW'!$I$163:$K$163</c:f>
              <c:numCache>
                <c:formatCode>0%</c:formatCode>
                <c:ptCount val="3"/>
                <c:pt idx="0">
                  <c:v>0.61463501603707149</c:v>
                </c:pt>
                <c:pt idx="1">
                  <c:v>0.67449458391010264</c:v>
                </c:pt>
                <c:pt idx="2">
                  <c:v>0.79461560042772417</c:v>
                </c:pt>
              </c:numCache>
            </c:numRef>
          </c:val>
          <c:extLst>
            <c:ext xmlns:c16="http://schemas.microsoft.com/office/drawing/2014/chart" uri="{C3380CC4-5D6E-409C-BE32-E72D297353CC}">
              <c16:uniqueId val="{00000000-FC04-4E54-B06A-79F50CBED803}"/>
            </c:ext>
          </c:extLst>
        </c:ser>
        <c:ser>
          <c:idx val="1"/>
          <c:order val="1"/>
          <c:tx>
            <c:strRef>
              <c:f>'NS nephrops over 300kW'!$H$164</c:f>
              <c:strCache>
                <c:ptCount val="1"/>
                <c:pt idx="0">
                  <c:v>Anglerfish</c:v>
                </c:pt>
              </c:strCache>
            </c:strRef>
          </c:tx>
          <c:spPr>
            <a:solidFill>
              <a:srgbClr val="E87308"/>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300kW'!$I$164:$K$164</c:f>
              <c:numCache>
                <c:formatCode>0%</c:formatCode>
                <c:ptCount val="3"/>
                <c:pt idx="0">
                  <c:v>0.16043344871447315</c:v>
                </c:pt>
                <c:pt idx="1">
                  <c:v>0.17373185748676748</c:v>
                </c:pt>
                <c:pt idx="2">
                  <c:v>9.4006909376749409E-2</c:v>
                </c:pt>
              </c:numCache>
            </c:numRef>
          </c:val>
          <c:extLst>
            <c:ext xmlns:c16="http://schemas.microsoft.com/office/drawing/2014/chart" uri="{C3380CC4-5D6E-409C-BE32-E72D297353CC}">
              <c16:uniqueId val="{00000001-FC04-4E54-B06A-79F50CBED803}"/>
            </c:ext>
          </c:extLst>
        </c:ser>
        <c:ser>
          <c:idx val="2"/>
          <c:order val="2"/>
          <c:tx>
            <c:strRef>
              <c:f>'NS nephrops over 300kW'!$H$165</c:f>
              <c:strCache>
                <c:ptCount val="1"/>
                <c:pt idx="0">
                  <c:v>Whiting</c:v>
                </c:pt>
              </c:strCache>
            </c:strRef>
          </c:tx>
          <c:spPr>
            <a:solidFill>
              <a:srgbClr val="648C2E"/>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300kW'!$I$165:$K$165</c:f>
              <c:numCache>
                <c:formatCode>0%</c:formatCode>
                <c:ptCount val="3"/>
                <c:pt idx="0">
                  <c:v>4.4702813518220752E-2</c:v>
                </c:pt>
                <c:pt idx="1">
                  <c:v>4.2667345813822803E-2</c:v>
                </c:pt>
                <c:pt idx="2">
                  <c:v>2.5685523568923081E-2</c:v>
                </c:pt>
              </c:numCache>
            </c:numRef>
          </c:val>
          <c:extLst>
            <c:ext xmlns:c16="http://schemas.microsoft.com/office/drawing/2014/chart" uri="{C3380CC4-5D6E-409C-BE32-E72D297353CC}">
              <c16:uniqueId val="{00000002-FC04-4E54-B06A-79F50CBED803}"/>
            </c:ext>
          </c:extLst>
        </c:ser>
        <c:ser>
          <c:idx val="3"/>
          <c:order val="3"/>
          <c:tx>
            <c:strRef>
              <c:f>'NS nephrops over 300kW'!$H$166</c:f>
              <c:strCache>
                <c:ptCount val="1"/>
                <c:pt idx="0">
                  <c:v>Haddock</c:v>
                </c:pt>
              </c:strCache>
            </c:strRef>
          </c:tx>
          <c:spPr>
            <a:solidFill>
              <a:srgbClr val="C1D119"/>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300kW'!$I$166:$K$166</c:f>
              <c:numCache>
                <c:formatCode>0%</c:formatCode>
                <c:ptCount val="3"/>
                <c:pt idx="0">
                  <c:v>4.3365160818499261E-2</c:v>
                </c:pt>
                <c:pt idx="1">
                  <c:v>3.1841215713308106E-2</c:v>
                </c:pt>
                <c:pt idx="2">
                  <c:v>1.5434448719542748E-2</c:v>
                </c:pt>
              </c:numCache>
            </c:numRef>
          </c:val>
          <c:extLst>
            <c:ext xmlns:c16="http://schemas.microsoft.com/office/drawing/2014/chart" uri="{C3380CC4-5D6E-409C-BE32-E72D297353CC}">
              <c16:uniqueId val="{00000003-FC04-4E54-B06A-79F50CBED803}"/>
            </c:ext>
          </c:extLst>
        </c:ser>
        <c:ser>
          <c:idx val="4"/>
          <c:order val="4"/>
          <c:tx>
            <c:strRef>
              <c:f>'NS nephrops over 300kW'!$H$167</c:f>
              <c:strCache>
                <c:ptCount val="1"/>
                <c:pt idx="0">
                  <c:v>Cod</c:v>
                </c:pt>
              </c:strCache>
            </c:strRef>
          </c:tx>
          <c:spPr>
            <a:solidFill>
              <a:srgbClr val="E84A38"/>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300kW'!$I$167:$K$167</c:f>
              <c:numCache>
                <c:formatCode>0%</c:formatCode>
                <c:ptCount val="3"/>
                <c:pt idx="0">
                  <c:v>0</c:v>
                </c:pt>
                <c:pt idx="1">
                  <c:v>2.3827978732874639E-2</c:v>
                </c:pt>
                <c:pt idx="2">
                  <c:v>0</c:v>
                </c:pt>
              </c:numCache>
            </c:numRef>
          </c:val>
          <c:extLst>
            <c:ext xmlns:c16="http://schemas.microsoft.com/office/drawing/2014/chart" uri="{C3380CC4-5D6E-409C-BE32-E72D297353CC}">
              <c16:uniqueId val="{00000004-FC04-4E54-B06A-79F50CBED803}"/>
            </c:ext>
          </c:extLst>
        </c:ser>
        <c:ser>
          <c:idx val="5"/>
          <c:order val="5"/>
          <c:tx>
            <c:strRef>
              <c:f>'NS nephrops over 300kW'!$H$168</c:f>
              <c:strCache>
                <c:ptCount val="1"/>
                <c:pt idx="0">
                  <c:v>Halibut</c:v>
                </c:pt>
              </c:strCache>
            </c:strRef>
          </c:tx>
          <c:spPr>
            <a:solidFill>
              <a:srgbClr val="707271"/>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300kW'!$I$168:$K$168</c:f>
              <c:numCache>
                <c:formatCode>0%</c:formatCode>
                <c:ptCount val="3"/>
                <c:pt idx="0">
                  <c:v>0</c:v>
                </c:pt>
                <c:pt idx="1">
                  <c:v>0</c:v>
                </c:pt>
                <c:pt idx="2">
                  <c:v>1.5529494246689651E-2</c:v>
                </c:pt>
              </c:numCache>
            </c:numRef>
          </c:val>
          <c:extLst>
            <c:ext xmlns:c16="http://schemas.microsoft.com/office/drawing/2014/chart" uri="{C3380CC4-5D6E-409C-BE32-E72D297353CC}">
              <c16:uniqueId val="{00000005-FC04-4E54-B06A-79F50CBED803}"/>
            </c:ext>
          </c:extLst>
        </c:ser>
        <c:ser>
          <c:idx val="6"/>
          <c:order val="6"/>
          <c:tx>
            <c:strRef>
              <c:f>'NS nephrops over 300kW'!$H$169</c:f>
              <c:strCache>
                <c:ptCount val="1"/>
                <c:pt idx="0">
                  <c:v>Squid</c:v>
                </c:pt>
              </c:strCache>
            </c:strRef>
          </c:tx>
          <c:spPr>
            <a:solidFill>
              <a:srgbClr val="169FDB"/>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300kW'!$I$169:$K$169</c:f>
              <c:numCache>
                <c:formatCode>0%</c:formatCode>
                <c:ptCount val="3"/>
                <c:pt idx="0">
                  <c:v>3.8922366848574731E-2</c:v>
                </c:pt>
                <c:pt idx="1">
                  <c:v>0</c:v>
                </c:pt>
                <c:pt idx="2">
                  <c:v>0</c:v>
                </c:pt>
              </c:numCache>
            </c:numRef>
          </c:val>
          <c:extLst>
            <c:ext xmlns:c16="http://schemas.microsoft.com/office/drawing/2014/chart" uri="{C3380CC4-5D6E-409C-BE32-E72D297353CC}">
              <c16:uniqueId val="{00000006-FC04-4E54-B06A-79F50CBED803}"/>
            </c:ext>
          </c:extLst>
        </c:ser>
        <c:ser>
          <c:idx val="7"/>
          <c:order val="7"/>
          <c:tx>
            <c:strRef>
              <c:f>'NS nephrops over 300kW'!$H$170</c:f>
              <c:strCache>
                <c:ptCount val="1"/>
                <c:pt idx="0">
                  <c:v>Others</c:v>
                </c:pt>
              </c:strCache>
            </c:strRef>
          </c:tx>
          <c:spPr>
            <a:solidFill>
              <a:srgbClr val="55585A"/>
            </a:solidFill>
            <a:ln>
              <a:solidFill>
                <a:srgbClr val="FFFFFF"/>
              </a:solidFill>
            </a:ln>
          </c:spPr>
          <c:invertIfNegative val="0"/>
          <c:cat>
            <c:strRef>
              <c:f>'NS nephrops over 300kW'!$I$162:$K$162</c:f>
              <c:strCache>
                <c:ptCount val="3"/>
                <c:pt idx="0">
                  <c:v>Most
profitable
quartile</c:v>
                </c:pt>
                <c:pt idx="1">
                  <c:v>Middle 
two quartiles</c:v>
                </c:pt>
                <c:pt idx="2">
                  <c:v>Least
profitable
quartile</c:v>
                </c:pt>
              </c:strCache>
            </c:strRef>
          </c:cat>
          <c:val>
            <c:numRef>
              <c:f>'NS nephrops over 300kW'!$I$170:$K$170</c:f>
              <c:numCache>
                <c:formatCode>0%</c:formatCode>
                <c:ptCount val="3"/>
                <c:pt idx="0">
                  <c:v>9.7941194063160486E-2</c:v>
                </c:pt>
                <c:pt idx="1">
                  <c:v>5.343701834312431E-2</c:v>
                </c:pt>
                <c:pt idx="2">
                  <c:v>5.4728023660370884E-2</c:v>
                </c:pt>
              </c:numCache>
            </c:numRef>
          </c:val>
          <c:extLst>
            <c:ext xmlns:c16="http://schemas.microsoft.com/office/drawing/2014/chart" uri="{C3380CC4-5D6E-409C-BE32-E72D297353CC}">
              <c16:uniqueId val="{00000007-FC04-4E54-B06A-79F50CBED803}"/>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over 300kW'!$K$140</c:f>
              <c:strCache>
                <c:ptCount val="1"/>
                <c:pt idx="0">
                  <c:v>Total income</c:v>
                </c:pt>
              </c:strCache>
            </c:strRef>
          </c:tx>
          <c:spPr>
            <a:solidFill>
              <a:srgbClr val="087CBB"/>
            </a:solidFill>
            <a:ln>
              <a:solidFill>
                <a:schemeClr val="accent1"/>
              </a:solidFill>
            </a:ln>
          </c:spPr>
          <c:invertIfNegative val="0"/>
          <c:cat>
            <c:strRef>
              <c:f>'NS nephrops over 300kW'!$L$139:$N$139</c:f>
              <c:strCache>
                <c:ptCount val="3"/>
                <c:pt idx="0">
                  <c:v>Most
profitable
quartile</c:v>
                </c:pt>
                <c:pt idx="1">
                  <c:v>Middle
two quartiles</c:v>
                </c:pt>
                <c:pt idx="2">
                  <c:v>Least
profitable
quartile</c:v>
                </c:pt>
              </c:strCache>
            </c:strRef>
          </c:cat>
          <c:val>
            <c:numRef>
              <c:f>'NS nephrops over 300kW'!$L$140:$N$140</c:f>
              <c:numCache>
                <c:formatCode>#,##0</c:formatCode>
                <c:ptCount val="3"/>
                <c:pt idx="0">
                  <c:v>1110.3430000000001</c:v>
                </c:pt>
                <c:pt idx="1">
                  <c:v>719.91750000000002</c:v>
                </c:pt>
                <c:pt idx="2">
                  <c:v>351.92815624999997</c:v>
                </c:pt>
              </c:numCache>
            </c:numRef>
          </c:val>
          <c:extLst>
            <c:ext xmlns:c16="http://schemas.microsoft.com/office/drawing/2014/chart" uri="{C3380CC4-5D6E-409C-BE32-E72D297353CC}">
              <c16:uniqueId val="{00000000-056C-4841-B905-1EFFD0ABA456}"/>
            </c:ext>
          </c:extLst>
        </c:ser>
        <c:ser>
          <c:idx val="1"/>
          <c:order val="1"/>
          <c:tx>
            <c:strRef>
              <c:f>'NS nephrops over 300kW'!$K$141</c:f>
              <c:strCache>
                <c:ptCount val="1"/>
                <c:pt idx="0">
                  <c:v>Operating costs</c:v>
                </c:pt>
              </c:strCache>
            </c:strRef>
          </c:tx>
          <c:spPr>
            <a:solidFill>
              <a:srgbClr val="E87308"/>
            </a:solidFill>
          </c:spPr>
          <c:invertIfNegative val="0"/>
          <c:cat>
            <c:strRef>
              <c:f>'NS nephrops over 300kW'!$L$139:$N$139</c:f>
              <c:strCache>
                <c:ptCount val="3"/>
                <c:pt idx="0">
                  <c:v>Most
profitable
quartile</c:v>
                </c:pt>
                <c:pt idx="1">
                  <c:v>Middle
two quartiles</c:v>
                </c:pt>
                <c:pt idx="2">
                  <c:v>Least
profitable
quartile</c:v>
                </c:pt>
              </c:strCache>
            </c:strRef>
          </c:cat>
          <c:val>
            <c:numRef>
              <c:f>'NS nephrops over 300kW'!$L$141:$N$141</c:f>
              <c:numCache>
                <c:formatCode>#,##0</c:formatCode>
                <c:ptCount val="3"/>
                <c:pt idx="0">
                  <c:v>956.71887500000003</c:v>
                </c:pt>
                <c:pt idx="1">
                  <c:v>663.38862500000005</c:v>
                </c:pt>
                <c:pt idx="2">
                  <c:v>361.64862499999998</c:v>
                </c:pt>
              </c:numCache>
            </c:numRef>
          </c:val>
          <c:extLst>
            <c:ext xmlns:c16="http://schemas.microsoft.com/office/drawing/2014/chart" uri="{C3380CC4-5D6E-409C-BE32-E72D297353CC}">
              <c16:uniqueId val="{00000001-056C-4841-B905-1EFFD0ABA456}"/>
            </c:ext>
          </c:extLst>
        </c:ser>
        <c:ser>
          <c:idx val="2"/>
          <c:order val="2"/>
          <c:tx>
            <c:strRef>
              <c:f>'NS nephrops over 300kW'!$K$142</c:f>
              <c:strCache>
                <c:ptCount val="1"/>
                <c:pt idx="0">
                  <c:v>Operating profit</c:v>
                </c:pt>
              </c:strCache>
            </c:strRef>
          </c:tx>
          <c:spPr>
            <a:solidFill>
              <a:srgbClr val="51AA81"/>
            </a:solidFill>
          </c:spPr>
          <c:invertIfNegative val="0"/>
          <c:cat>
            <c:strRef>
              <c:f>'NS nephrops over 300kW'!$L$139:$N$139</c:f>
              <c:strCache>
                <c:ptCount val="3"/>
                <c:pt idx="0">
                  <c:v>Most
profitable
quartile</c:v>
                </c:pt>
                <c:pt idx="1">
                  <c:v>Middle
two quartiles</c:v>
                </c:pt>
                <c:pt idx="2">
                  <c:v>Least
profitable
quartile</c:v>
                </c:pt>
              </c:strCache>
            </c:strRef>
          </c:cat>
          <c:val>
            <c:numRef>
              <c:f>'NS nephrops over 300kW'!$L$142:$N$142</c:f>
              <c:numCache>
                <c:formatCode>#,##0</c:formatCode>
                <c:ptCount val="3"/>
                <c:pt idx="0">
                  <c:v>153.62412499999999</c:v>
                </c:pt>
                <c:pt idx="1">
                  <c:v>56.528874999999999</c:v>
                </c:pt>
                <c:pt idx="2">
                  <c:v>-9.7204687500000002</c:v>
                </c:pt>
              </c:numCache>
            </c:numRef>
          </c:val>
          <c:extLst>
            <c:ext xmlns:c16="http://schemas.microsoft.com/office/drawing/2014/chart" uri="{C3380CC4-5D6E-409C-BE32-E72D297353CC}">
              <c16:uniqueId val="{00000002-056C-4841-B905-1EFFD0ABA456}"/>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nephrops over 300kW'!$K$143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300kW'!$A$49</c:f>
          <c:strCache>
            <c:ptCount val="1"/>
            <c:pt idx="0">
              <c:v>Landings per kW day at sea (kg)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A9C-4D95-ABB7-AE817DC04D92}"/>
              </c:ext>
            </c:extLst>
          </c:dPt>
          <c:dPt>
            <c:idx val="10"/>
            <c:bubble3D val="0"/>
            <c:spPr>
              <a:ln w="57150">
                <a:solidFill>
                  <a:srgbClr val="2273B9"/>
                </a:solidFill>
                <a:prstDash val="sysDot"/>
              </a:ln>
            </c:spPr>
            <c:extLst>
              <c:ext xmlns:c16="http://schemas.microsoft.com/office/drawing/2014/chart" uri="{C3380CC4-5D6E-409C-BE32-E72D297353CC}">
                <c16:uniqueId val="{00000003-BA9C-4D95-ABB7-AE817DC04D92}"/>
              </c:ext>
            </c:extLst>
          </c:dPt>
          <c:cat>
            <c:numRef>
              <c:f>'NS nephrops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under 300kW'!$D$22:$N$22</c:f>
              <c:numCache>
                <c:formatCode>#,##0.00</c:formatCode>
                <c:ptCount val="11"/>
                <c:pt idx="0">
                  <c:v>2.8683846365261076</c:v>
                </c:pt>
                <c:pt idx="1">
                  <c:v>2.8315494410973101</c:v>
                </c:pt>
                <c:pt idx="2">
                  <c:v>3.055330906822975</c:v>
                </c:pt>
                <c:pt idx="3">
                  <c:v>2.3536535412319641</c:v>
                </c:pt>
                <c:pt idx="4">
                  <c:v>2.8779996556265526</c:v>
                </c:pt>
                <c:pt idx="5">
                  <c:v>2.9000436235206841</c:v>
                </c:pt>
                <c:pt idx="6">
                  <c:v>2.9461208976049122</c:v>
                </c:pt>
                <c:pt idx="7">
                  <c:v>3.368814536579968</c:v>
                </c:pt>
                <c:pt idx="8">
                  <c:v>2.4905044539074437</c:v>
                </c:pt>
                <c:pt idx="9">
                  <c:v>2.8947798306090391</c:v>
                </c:pt>
                <c:pt idx="10">
                  <c:v>2.8545223000264253</c:v>
                </c:pt>
              </c:numCache>
            </c:numRef>
          </c:val>
          <c:smooth val="0"/>
          <c:extLst>
            <c:ext xmlns:c16="http://schemas.microsoft.com/office/drawing/2014/chart" uri="{C3380CC4-5D6E-409C-BE32-E72D297353CC}">
              <c16:uniqueId val="{00000004-BA9C-4D95-ABB7-AE817DC04D92}"/>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300kW'!$A$50</c:f>
          <c:strCache>
            <c:ptCount val="1"/>
            <c:pt idx="0">
              <c:v>Fishing income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FA1A-48B9-B5CF-9DFF6A9E77B8}"/>
              </c:ext>
            </c:extLst>
          </c:dPt>
          <c:dPt>
            <c:idx val="10"/>
            <c:bubble3D val="0"/>
            <c:spPr>
              <a:ln w="57150">
                <a:solidFill>
                  <a:srgbClr val="648C2E"/>
                </a:solidFill>
                <a:prstDash val="sysDot"/>
              </a:ln>
            </c:spPr>
            <c:extLst>
              <c:ext xmlns:c16="http://schemas.microsoft.com/office/drawing/2014/chart" uri="{C3380CC4-5D6E-409C-BE32-E72D297353CC}">
                <c16:uniqueId val="{00000003-FA1A-48B9-B5CF-9DFF6A9E77B8}"/>
              </c:ext>
            </c:extLst>
          </c:dPt>
          <c:cat>
            <c:numRef>
              <c:f>'NS nephrops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under 300kW'!$D$23:$N$23</c:f>
              <c:numCache>
                <c:formatCode>#,##0.00</c:formatCode>
                <c:ptCount val="11"/>
                <c:pt idx="0">
                  <c:v>9.44634631197885</c:v>
                </c:pt>
                <c:pt idx="1">
                  <c:v>8.0871868738393005</c:v>
                </c:pt>
                <c:pt idx="2">
                  <c:v>9.4407379545712899</c:v>
                </c:pt>
                <c:pt idx="3">
                  <c:v>7.2696357291386997</c:v>
                </c:pt>
                <c:pt idx="4">
                  <c:v>8.7597912378522391</c:v>
                </c:pt>
                <c:pt idx="5">
                  <c:v>9.0394308928423595</c:v>
                </c:pt>
                <c:pt idx="6">
                  <c:v>9.1746914313716097</c:v>
                </c:pt>
                <c:pt idx="7">
                  <c:v>9.1204414942675793</c:v>
                </c:pt>
                <c:pt idx="8">
                  <c:v>5.7404091790783296</c:v>
                </c:pt>
                <c:pt idx="9">
                  <c:v>6.6555855175711596</c:v>
                </c:pt>
                <c:pt idx="10">
                  <c:v>7.8530258467839653</c:v>
                </c:pt>
              </c:numCache>
            </c:numRef>
          </c:val>
          <c:smooth val="0"/>
          <c:extLst>
            <c:ext xmlns:c16="http://schemas.microsoft.com/office/drawing/2014/chart" uri="{C3380CC4-5D6E-409C-BE32-E72D297353CC}">
              <c16:uniqueId val="{00000004-FA1A-48B9-B5CF-9DFF6A9E77B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300kW'!$B$63</c:f>
          <c:strCache>
            <c:ptCount val="1"/>
            <c:pt idx="0">
              <c:v>Total cost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4812-4977-8F97-3E05F5DD2225}"/>
              </c:ext>
            </c:extLst>
          </c:dPt>
          <c:dPt>
            <c:idx val="10"/>
            <c:bubble3D val="0"/>
            <c:spPr>
              <a:ln w="57150">
                <a:solidFill>
                  <a:srgbClr val="087CBB"/>
                </a:solidFill>
                <a:prstDash val="sysDot"/>
              </a:ln>
            </c:spPr>
            <c:extLst>
              <c:ext xmlns:c16="http://schemas.microsoft.com/office/drawing/2014/chart" uri="{C3380CC4-5D6E-409C-BE32-E72D297353CC}">
                <c16:uniqueId val="{00000003-4812-4977-8F97-3E05F5DD2225}"/>
              </c:ext>
            </c:extLst>
          </c:dPt>
          <c:cat>
            <c:numRef>
              <c:f>'NS nephrops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under 300kW'!$D$24:$N$24</c:f>
              <c:numCache>
                <c:formatCode>#,##0.00</c:formatCode>
                <c:ptCount val="11"/>
                <c:pt idx="0">
                  <c:v>9.3883044162632103</c:v>
                </c:pt>
                <c:pt idx="1">
                  <c:v>8.8607265462297509</c:v>
                </c:pt>
                <c:pt idx="2">
                  <c:v>9.0059347620633403</c:v>
                </c:pt>
                <c:pt idx="3">
                  <c:v>7.1497544558027704</c:v>
                </c:pt>
                <c:pt idx="4">
                  <c:v>7.9308909338988904</c:v>
                </c:pt>
                <c:pt idx="5">
                  <c:v>8.3808122917802699</c:v>
                </c:pt>
                <c:pt idx="6">
                  <c:v>8.7881990659028499</c:v>
                </c:pt>
                <c:pt idx="7">
                  <c:v>8.7991702837936998</c:v>
                </c:pt>
                <c:pt idx="8">
                  <c:v>5.9343407924530398</c:v>
                </c:pt>
                <c:pt idx="9">
                  <c:v>5.9805874798479302</c:v>
                </c:pt>
                <c:pt idx="10">
                  <c:v>7.5013618109653954</c:v>
                </c:pt>
              </c:numCache>
            </c:numRef>
          </c:val>
          <c:smooth val="0"/>
          <c:extLst>
            <c:ext xmlns:c16="http://schemas.microsoft.com/office/drawing/2014/chart" uri="{C3380CC4-5D6E-409C-BE32-E72D297353CC}">
              <c16:uniqueId val="{00000004-4812-4977-8F97-3E05F5DD2225}"/>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300kW'!$K$49</c:f>
          <c:strCache>
            <c:ptCount val="1"/>
            <c:pt idx="0">
              <c:v>Operating profit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0612-4A0A-ABB8-1275E14F4D6F}"/>
              </c:ext>
            </c:extLst>
          </c:dPt>
          <c:dPt>
            <c:idx val="10"/>
            <c:bubble3D val="0"/>
            <c:spPr>
              <a:ln w="57150">
                <a:solidFill>
                  <a:schemeClr val="accent3"/>
                </a:solidFill>
                <a:prstDash val="sysDot"/>
              </a:ln>
            </c:spPr>
            <c:extLst>
              <c:ext xmlns:c16="http://schemas.microsoft.com/office/drawing/2014/chart" uri="{C3380CC4-5D6E-409C-BE32-E72D297353CC}">
                <c16:uniqueId val="{00000003-0612-4A0A-ABB8-1275E14F4D6F}"/>
              </c:ext>
            </c:extLst>
          </c:dPt>
          <c:cat>
            <c:numRef>
              <c:f>'NS nephrops under 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 nephrops under 300kW'!$D$25:$N$25</c:f>
              <c:numCache>
                <c:formatCode>#,##0.00</c:formatCode>
                <c:ptCount val="11"/>
                <c:pt idx="0">
                  <c:v>1.4142977712917699</c:v>
                </c:pt>
                <c:pt idx="1">
                  <c:v>0.60683019280819805</c:v>
                </c:pt>
                <c:pt idx="2">
                  <c:v>1.11717222374798</c:v>
                </c:pt>
                <c:pt idx="3">
                  <c:v>0.53972675697490602</c:v>
                </c:pt>
                <c:pt idx="4">
                  <c:v>1.44394577855343</c:v>
                </c:pt>
                <c:pt idx="5">
                  <c:v>1.4883504344764</c:v>
                </c:pt>
                <c:pt idx="6">
                  <c:v>0.80919821159858996</c:v>
                </c:pt>
                <c:pt idx="7">
                  <c:v>0.58870568563561598</c:v>
                </c:pt>
                <c:pt idx="8">
                  <c:v>1.1769835938217199</c:v>
                </c:pt>
                <c:pt idx="9">
                  <c:v>1.08755028334244</c:v>
                </c:pt>
                <c:pt idx="10">
                  <c:v>0.83844064782139527</c:v>
                </c:pt>
              </c:numCache>
            </c:numRef>
          </c:val>
          <c:smooth val="0"/>
          <c:extLst>
            <c:ext xmlns:c16="http://schemas.microsoft.com/office/drawing/2014/chart" uri="{C3380CC4-5D6E-409C-BE32-E72D297353CC}">
              <c16:uniqueId val="{00000004-0612-4A0A-ABB8-1275E14F4D6F}"/>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300kW'!$A$51</c:f>
          <c:strCache>
            <c:ptCount val="1"/>
            <c:pt idx="0">
              <c:v>Average price per tonne landed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FB2-4AB7-8728-0CBE856B6F0E}"/>
              </c:ext>
            </c:extLst>
          </c:dPt>
          <c:dPt>
            <c:idx val="10"/>
            <c:bubble3D val="0"/>
            <c:spPr>
              <a:ln w="57150">
                <a:solidFill>
                  <a:schemeClr val="accent4"/>
                </a:solidFill>
                <a:prstDash val="sysDot"/>
              </a:ln>
            </c:spPr>
            <c:extLst>
              <c:ext xmlns:c16="http://schemas.microsoft.com/office/drawing/2014/chart" uri="{C3380CC4-5D6E-409C-BE32-E72D297353CC}">
                <c16:uniqueId val="{00000003-AFB2-4AB7-8728-0CBE856B6F0E}"/>
              </c:ext>
            </c:extLst>
          </c:dPt>
          <c:cat>
            <c:numRef>
              <c:f>'NS nephrops under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300kW'!$D$21:$N$21</c:f>
              <c:numCache>
                <c:formatCode>#,##0</c:formatCode>
                <c:ptCount val="11"/>
                <c:pt idx="0">
                  <c:v>3293</c:v>
                </c:pt>
                <c:pt idx="1">
                  <c:v>2856</c:v>
                </c:pt>
                <c:pt idx="2">
                  <c:v>3090</c:v>
                </c:pt>
                <c:pt idx="3">
                  <c:v>3089</c:v>
                </c:pt>
                <c:pt idx="4">
                  <c:v>3044</c:v>
                </c:pt>
                <c:pt idx="5">
                  <c:v>3117</c:v>
                </c:pt>
                <c:pt idx="6">
                  <c:v>3114</c:v>
                </c:pt>
                <c:pt idx="7">
                  <c:v>2707</c:v>
                </c:pt>
                <c:pt idx="8">
                  <c:v>2305</c:v>
                </c:pt>
                <c:pt idx="9">
                  <c:v>2299</c:v>
                </c:pt>
                <c:pt idx="10">
                  <c:v>2751</c:v>
                </c:pt>
              </c:numCache>
            </c:numRef>
          </c:val>
          <c:smooth val="0"/>
          <c:extLst>
            <c:ext xmlns:c16="http://schemas.microsoft.com/office/drawing/2014/chart" uri="{C3380CC4-5D6E-409C-BE32-E72D297353CC}">
              <c16:uniqueId val="{00000004-AFB2-4AB7-8728-0CBE856B6F0E}"/>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o250kW'!$B$63</c:f>
          <c:strCache>
            <c:ptCount val="1"/>
            <c:pt idx="0">
              <c:v>Total cost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CA5C-4491-80A7-4E4384CB35F9}"/>
              </c:ext>
            </c:extLst>
          </c:dPt>
          <c:dPt>
            <c:idx val="10"/>
            <c:bubble3D val="0"/>
            <c:spPr>
              <a:ln w="57150">
                <a:solidFill>
                  <a:srgbClr val="087CBB"/>
                </a:solidFill>
                <a:prstDash val="sysDot"/>
              </a:ln>
            </c:spPr>
            <c:extLst>
              <c:ext xmlns:c16="http://schemas.microsoft.com/office/drawing/2014/chart" uri="{C3380CC4-5D6E-409C-BE32-E72D297353CC}">
                <c16:uniqueId val="{00000003-CA5C-4491-80A7-4E4384CB35F9}"/>
              </c:ext>
            </c:extLst>
          </c:dPt>
          <c:cat>
            <c:numRef>
              <c:f>'Area VIIa nephrops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o250kW'!$D$24:$N$24</c:f>
              <c:numCache>
                <c:formatCode>#,##0.00</c:formatCode>
                <c:ptCount val="11"/>
                <c:pt idx="0">
                  <c:v>5.0977943560401302</c:v>
                </c:pt>
                <c:pt idx="1">
                  <c:v>4.3403282894077604</c:v>
                </c:pt>
                <c:pt idx="2">
                  <c:v>4.5123357389925101</c:v>
                </c:pt>
                <c:pt idx="3">
                  <c:v>4.1059448728665497</c:v>
                </c:pt>
                <c:pt idx="4">
                  <c:v>4.2364740480083203</c:v>
                </c:pt>
                <c:pt idx="5">
                  <c:v>4.6810405596954503</c:v>
                </c:pt>
                <c:pt idx="6">
                  <c:v>5.2789365831469697</c:v>
                </c:pt>
                <c:pt idx="7">
                  <c:v>5.7639399565294704</c:v>
                </c:pt>
                <c:pt idx="8">
                  <c:v>4.8796223085635697</c:v>
                </c:pt>
                <c:pt idx="9">
                  <c:v>4.8995089765670103</c:v>
                </c:pt>
                <c:pt idx="10">
                  <c:v>6.9520696283708423</c:v>
                </c:pt>
              </c:numCache>
            </c:numRef>
          </c:val>
          <c:smooth val="0"/>
          <c:extLst>
            <c:ext xmlns:c16="http://schemas.microsoft.com/office/drawing/2014/chart" uri="{C3380CC4-5D6E-409C-BE32-E72D297353CC}">
              <c16:uniqueId val="{00000004-CA5C-4491-80A7-4E4384CB35F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300kW'!$K$63</c:f>
          <c:strCache>
            <c:ptCount val="1"/>
            <c:pt idx="0">
              <c:v>Average annual operating profit per vessel (£'000)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E527-4606-B0E9-D342034B004F}"/>
              </c:ext>
            </c:extLst>
          </c:dPt>
          <c:dPt>
            <c:idx val="10"/>
            <c:bubble3D val="0"/>
            <c:spPr>
              <a:ln w="57150">
                <a:solidFill>
                  <a:schemeClr val="accent5"/>
                </a:solidFill>
                <a:prstDash val="sysDot"/>
              </a:ln>
            </c:spPr>
            <c:extLst>
              <c:ext xmlns:c16="http://schemas.microsoft.com/office/drawing/2014/chart" uri="{C3380CC4-5D6E-409C-BE32-E72D297353CC}">
                <c16:uniqueId val="{00000003-E527-4606-B0E9-D342034B004F}"/>
              </c:ext>
            </c:extLst>
          </c:dPt>
          <c:cat>
            <c:numRef>
              <c:f>'NS nephrops under 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300kW'!$D$38:$N$38</c:f>
              <c:numCache>
                <c:formatCode>#,##0.0</c:formatCode>
                <c:ptCount val="11"/>
                <c:pt idx="0">
                  <c:v>35.6</c:v>
                </c:pt>
                <c:pt idx="1">
                  <c:v>13.6</c:v>
                </c:pt>
                <c:pt idx="2">
                  <c:v>24.7</c:v>
                </c:pt>
                <c:pt idx="3">
                  <c:v>10.9</c:v>
                </c:pt>
                <c:pt idx="4">
                  <c:v>37.200000000000003</c:v>
                </c:pt>
                <c:pt idx="5">
                  <c:v>34.6</c:v>
                </c:pt>
                <c:pt idx="6">
                  <c:v>18.2</c:v>
                </c:pt>
                <c:pt idx="7">
                  <c:v>13.7</c:v>
                </c:pt>
                <c:pt idx="8">
                  <c:v>21.5</c:v>
                </c:pt>
                <c:pt idx="9">
                  <c:v>20.6</c:v>
                </c:pt>
                <c:pt idx="10">
                  <c:v>17.3</c:v>
                </c:pt>
              </c:numCache>
            </c:numRef>
          </c:val>
          <c:smooth val="0"/>
          <c:extLst>
            <c:ext xmlns:c16="http://schemas.microsoft.com/office/drawing/2014/chart" uri="{C3380CC4-5D6E-409C-BE32-E72D297353CC}">
              <c16:uniqueId val="{00000004-E527-4606-B0E9-D342034B004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300kW'!$A$77</c:f>
          <c:strCache>
            <c:ptCount val="1"/>
            <c:pt idx="0">
              <c:v>Top 5 landed species by volume in 2021
North Sea nephrops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ABE9-47AC-A3A6-0763552FD4EB}"/>
              </c:ext>
            </c:extLst>
          </c:dPt>
          <c:dPt>
            <c:idx val="1"/>
            <c:bubble3D val="0"/>
            <c:spPr>
              <a:solidFill>
                <a:srgbClr val="E87308"/>
              </a:solidFill>
              <a:ln>
                <a:solidFill>
                  <a:srgbClr val="FFFFFF"/>
                </a:solidFill>
              </a:ln>
            </c:spPr>
            <c:extLst>
              <c:ext xmlns:c16="http://schemas.microsoft.com/office/drawing/2014/chart" uri="{C3380CC4-5D6E-409C-BE32-E72D297353CC}">
                <c16:uniqueId val="{00000003-ABE9-47AC-A3A6-0763552FD4EB}"/>
              </c:ext>
            </c:extLst>
          </c:dPt>
          <c:dPt>
            <c:idx val="2"/>
            <c:bubble3D val="0"/>
            <c:spPr>
              <a:solidFill>
                <a:srgbClr val="C1D119"/>
              </a:solidFill>
              <a:ln>
                <a:solidFill>
                  <a:srgbClr val="FFFFFF"/>
                </a:solidFill>
              </a:ln>
            </c:spPr>
            <c:extLst>
              <c:ext xmlns:c16="http://schemas.microsoft.com/office/drawing/2014/chart" uri="{C3380CC4-5D6E-409C-BE32-E72D297353CC}">
                <c16:uniqueId val="{00000005-ABE9-47AC-A3A6-0763552FD4EB}"/>
              </c:ext>
            </c:extLst>
          </c:dPt>
          <c:dPt>
            <c:idx val="3"/>
            <c:bubble3D val="0"/>
            <c:spPr>
              <a:solidFill>
                <a:srgbClr val="E84A38"/>
              </a:solidFill>
              <a:ln>
                <a:solidFill>
                  <a:srgbClr val="FFFFFF"/>
                </a:solidFill>
              </a:ln>
            </c:spPr>
            <c:extLst>
              <c:ext xmlns:c16="http://schemas.microsoft.com/office/drawing/2014/chart" uri="{C3380CC4-5D6E-409C-BE32-E72D297353CC}">
                <c16:uniqueId val="{00000007-ABE9-47AC-A3A6-0763552FD4EB}"/>
              </c:ext>
            </c:extLst>
          </c:dPt>
          <c:dPt>
            <c:idx val="4"/>
            <c:bubble3D val="0"/>
            <c:spPr>
              <a:solidFill>
                <a:srgbClr val="648C2E"/>
              </a:solidFill>
              <a:ln>
                <a:solidFill>
                  <a:srgbClr val="FFFFFF"/>
                </a:solidFill>
              </a:ln>
            </c:spPr>
            <c:extLst>
              <c:ext xmlns:c16="http://schemas.microsoft.com/office/drawing/2014/chart" uri="{C3380CC4-5D6E-409C-BE32-E72D297353CC}">
                <c16:uniqueId val="{00000009-ABE9-47AC-A3A6-0763552FD4EB}"/>
              </c:ext>
            </c:extLst>
          </c:dPt>
          <c:dPt>
            <c:idx val="5"/>
            <c:bubble3D val="0"/>
            <c:spPr>
              <a:solidFill>
                <a:srgbClr val="55585A"/>
              </a:solidFill>
              <a:ln>
                <a:solidFill>
                  <a:srgbClr val="FFFFFF"/>
                </a:solidFill>
              </a:ln>
            </c:spPr>
            <c:extLst>
              <c:ext xmlns:c16="http://schemas.microsoft.com/office/drawing/2014/chart" uri="{C3380CC4-5D6E-409C-BE32-E72D297353CC}">
                <c16:uniqueId val="{0000000B-ABE9-47AC-A3A6-0763552FD4EB}"/>
              </c:ext>
            </c:extLst>
          </c:dPt>
          <c:cat>
            <c:strRef>
              <c:f>'NS nephrops under 300kW'!$B$78:$B$83</c:f>
              <c:strCache>
                <c:ptCount val="6"/>
                <c:pt idx="0">
                  <c:v>Nephrops - 84.6%</c:v>
                </c:pt>
                <c:pt idx="1">
                  <c:v>Anglerfish - 3.4%</c:v>
                </c:pt>
                <c:pt idx="2">
                  <c:v>Haddock - 3.0%</c:v>
                </c:pt>
                <c:pt idx="3">
                  <c:v>Whiting - 2.6%</c:v>
                </c:pt>
                <c:pt idx="4">
                  <c:v>Cod - 1.1%</c:v>
                </c:pt>
                <c:pt idx="5">
                  <c:v>Others - 5.3%</c:v>
                </c:pt>
              </c:strCache>
            </c:strRef>
          </c:cat>
          <c:val>
            <c:numRef>
              <c:f>'NS nephrops under 300kW'!$C$78:$C$83</c:f>
              <c:numCache>
                <c:formatCode>0.0%</c:formatCode>
                <c:ptCount val="6"/>
                <c:pt idx="0">
                  <c:v>0.8462930747693298</c:v>
                </c:pt>
                <c:pt idx="1">
                  <c:v>3.3601257963988294E-2</c:v>
                </c:pt>
                <c:pt idx="2">
                  <c:v>3.0208740561448812E-2</c:v>
                </c:pt>
                <c:pt idx="3">
                  <c:v>2.5929433174428203E-2</c:v>
                </c:pt>
                <c:pt idx="4">
                  <c:v>1.1377557557404553E-2</c:v>
                </c:pt>
                <c:pt idx="5">
                  <c:v>5.2589935973400337E-2</c:v>
                </c:pt>
              </c:numCache>
            </c:numRef>
          </c:val>
          <c:extLst>
            <c:ext xmlns:c16="http://schemas.microsoft.com/office/drawing/2014/chart" uri="{C3380CC4-5D6E-409C-BE32-E72D297353CC}">
              <c16:uniqueId val="{0000000C-ABE9-47AC-A3A6-0763552FD4E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300kW'!$F$77</c:f>
          <c:strCache>
            <c:ptCount val="1"/>
            <c:pt idx="0">
              <c:v>Top 5 landed species by value in 2021
North Sea nephrops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A056-4F80-A57B-781E5EA2A26C}"/>
              </c:ext>
            </c:extLst>
          </c:dPt>
          <c:dPt>
            <c:idx val="1"/>
            <c:bubble3D val="0"/>
            <c:spPr>
              <a:solidFill>
                <a:srgbClr val="E87308"/>
              </a:solidFill>
              <a:ln>
                <a:solidFill>
                  <a:srgbClr val="FFFFFF"/>
                </a:solidFill>
              </a:ln>
            </c:spPr>
            <c:extLst>
              <c:ext xmlns:c16="http://schemas.microsoft.com/office/drawing/2014/chart" uri="{C3380CC4-5D6E-409C-BE32-E72D297353CC}">
                <c16:uniqueId val="{00000003-A056-4F80-A57B-781E5EA2A26C}"/>
              </c:ext>
            </c:extLst>
          </c:dPt>
          <c:dPt>
            <c:idx val="2"/>
            <c:bubble3D val="0"/>
            <c:spPr>
              <a:solidFill>
                <a:srgbClr val="648C2E"/>
              </a:solidFill>
              <a:ln>
                <a:solidFill>
                  <a:srgbClr val="FFFFFF"/>
                </a:solidFill>
              </a:ln>
            </c:spPr>
            <c:extLst>
              <c:ext xmlns:c16="http://schemas.microsoft.com/office/drawing/2014/chart" uri="{C3380CC4-5D6E-409C-BE32-E72D297353CC}">
                <c16:uniqueId val="{00000005-A056-4F80-A57B-781E5EA2A26C}"/>
              </c:ext>
            </c:extLst>
          </c:dPt>
          <c:dPt>
            <c:idx val="3"/>
            <c:bubble3D val="0"/>
            <c:spPr>
              <a:solidFill>
                <a:srgbClr val="C1D119"/>
              </a:solidFill>
              <a:ln>
                <a:solidFill>
                  <a:srgbClr val="FFFFFF"/>
                </a:solidFill>
              </a:ln>
            </c:spPr>
            <c:extLst>
              <c:ext xmlns:c16="http://schemas.microsoft.com/office/drawing/2014/chart" uri="{C3380CC4-5D6E-409C-BE32-E72D297353CC}">
                <c16:uniqueId val="{00000007-A056-4F80-A57B-781E5EA2A26C}"/>
              </c:ext>
            </c:extLst>
          </c:dPt>
          <c:dPt>
            <c:idx val="4"/>
            <c:bubble3D val="0"/>
            <c:spPr>
              <a:solidFill>
                <a:srgbClr val="E84A38"/>
              </a:solidFill>
              <a:ln>
                <a:solidFill>
                  <a:srgbClr val="FFFFFF"/>
                </a:solidFill>
              </a:ln>
            </c:spPr>
            <c:extLst>
              <c:ext xmlns:c16="http://schemas.microsoft.com/office/drawing/2014/chart" uri="{C3380CC4-5D6E-409C-BE32-E72D297353CC}">
                <c16:uniqueId val="{00000009-A056-4F80-A57B-781E5EA2A26C}"/>
              </c:ext>
            </c:extLst>
          </c:dPt>
          <c:dPt>
            <c:idx val="5"/>
            <c:bubble3D val="0"/>
            <c:spPr>
              <a:solidFill>
                <a:srgbClr val="55585A"/>
              </a:solidFill>
              <a:ln>
                <a:solidFill>
                  <a:srgbClr val="FFFFFF"/>
                </a:solidFill>
              </a:ln>
            </c:spPr>
            <c:extLst>
              <c:ext xmlns:c16="http://schemas.microsoft.com/office/drawing/2014/chart" uri="{C3380CC4-5D6E-409C-BE32-E72D297353CC}">
                <c16:uniqueId val="{0000000B-A056-4F80-A57B-781E5EA2A26C}"/>
              </c:ext>
            </c:extLst>
          </c:dPt>
          <c:cat>
            <c:strRef>
              <c:f>'NS nephrops under 300kW'!$G$78:$G$83</c:f>
              <c:strCache>
                <c:ptCount val="6"/>
                <c:pt idx="0">
                  <c:v>Nephrops - 85.8%</c:v>
                </c:pt>
                <c:pt idx="1">
                  <c:v>Anglerfish - 3.6%</c:v>
                </c:pt>
                <c:pt idx="2">
                  <c:v>Cod - 1.3%</c:v>
                </c:pt>
                <c:pt idx="3">
                  <c:v>Haddock - 1.1%</c:v>
                </c:pt>
                <c:pt idx="4">
                  <c:v>Whiting - 1.1%</c:v>
                </c:pt>
                <c:pt idx="5">
                  <c:v>Others - 7.1%</c:v>
                </c:pt>
              </c:strCache>
            </c:strRef>
          </c:cat>
          <c:val>
            <c:numRef>
              <c:f>'NS nephrops under 300kW'!$H$78:$H$83</c:f>
              <c:numCache>
                <c:formatCode>0.0%</c:formatCode>
                <c:ptCount val="6"/>
                <c:pt idx="0">
                  <c:v>0.85836514945373144</c:v>
                </c:pt>
                <c:pt idx="1">
                  <c:v>3.628031733659514E-2</c:v>
                </c:pt>
                <c:pt idx="2">
                  <c:v>1.2916968165677159E-2</c:v>
                </c:pt>
                <c:pt idx="3">
                  <c:v>1.1355865963513685E-2</c:v>
                </c:pt>
                <c:pt idx="4">
                  <c:v>1.056503495677133E-2</c:v>
                </c:pt>
                <c:pt idx="5">
                  <c:v>7.0516664123711381E-2</c:v>
                </c:pt>
              </c:numCache>
            </c:numRef>
          </c:val>
          <c:extLst>
            <c:ext xmlns:c16="http://schemas.microsoft.com/office/drawing/2014/chart" uri="{C3380CC4-5D6E-409C-BE32-E72D297353CC}">
              <c16:uniqueId val="{0000000C-A056-4F80-A57B-781E5EA2A26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under 300kW'!$C$93</c:f>
              <c:strCache>
                <c:ptCount val="1"/>
                <c:pt idx="0">
                  <c:v>Nephrops</c:v>
                </c:pt>
              </c:strCache>
            </c:strRef>
          </c:tx>
          <c:spPr>
            <a:solidFill>
              <a:srgbClr val="2273B9"/>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300kW'!$D$93:$M$93</c:f>
              <c:numCache>
                <c:formatCode>0%</c:formatCode>
                <c:ptCount val="10"/>
                <c:pt idx="0">
                  <c:v>0.86746253934379847</c:v>
                </c:pt>
                <c:pt idx="1">
                  <c:v>0.84242194081927868</c:v>
                </c:pt>
                <c:pt idx="2">
                  <c:v>0.87395733269264164</c:v>
                </c:pt>
                <c:pt idx="3">
                  <c:v>0.81266456592736169</c:v>
                </c:pt>
                <c:pt idx="4">
                  <c:v>0.80568847784137432</c:v>
                </c:pt>
                <c:pt idx="5">
                  <c:v>0.84907205540570596</c:v>
                </c:pt>
                <c:pt idx="6">
                  <c:v>0.87214342376848364</c:v>
                </c:pt>
                <c:pt idx="7">
                  <c:v>0.85203632603766177</c:v>
                </c:pt>
                <c:pt idx="8">
                  <c:v>0.85836514945373144</c:v>
                </c:pt>
                <c:pt idx="9">
                  <c:v>0.92601954368681272</c:v>
                </c:pt>
              </c:numCache>
            </c:numRef>
          </c:val>
          <c:extLst>
            <c:ext xmlns:c16="http://schemas.microsoft.com/office/drawing/2014/chart" uri="{C3380CC4-5D6E-409C-BE32-E72D297353CC}">
              <c16:uniqueId val="{00000000-BF51-4766-9EE5-0860D2BC3BE7}"/>
            </c:ext>
          </c:extLst>
        </c:ser>
        <c:ser>
          <c:idx val="1"/>
          <c:order val="1"/>
          <c:tx>
            <c:strRef>
              <c:f>'NS nephrops under 300kW'!$C$94</c:f>
              <c:strCache>
                <c:ptCount val="1"/>
                <c:pt idx="0">
                  <c:v>Anglerfish</c:v>
                </c:pt>
              </c:strCache>
            </c:strRef>
          </c:tx>
          <c:spPr>
            <a:solidFill>
              <a:srgbClr val="E87308"/>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300kW'!$D$94:$M$94</c:f>
              <c:numCache>
                <c:formatCode>0%</c:formatCode>
                <c:ptCount val="10"/>
                <c:pt idx="0">
                  <c:v>1.9045899694926212E-2</c:v>
                </c:pt>
                <c:pt idx="1">
                  <c:v>2.3814822468433239E-2</c:v>
                </c:pt>
                <c:pt idx="2">
                  <c:v>3.2214785011503863E-2</c:v>
                </c:pt>
                <c:pt idx="3">
                  <c:v>3.7510052948812475E-2</c:v>
                </c:pt>
                <c:pt idx="4">
                  <c:v>2.8890219027986101E-2</c:v>
                </c:pt>
                <c:pt idx="5">
                  <c:v>2.4434976943989287E-2</c:v>
                </c:pt>
                <c:pt idx="6">
                  <c:v>1.7345722915582552E-2</c:v>
                </c:pt>
                <c:pt idx="7">
                  <c:v>3.7891045357731676E-2</c:v>
                </c:pt>
                <c:pt idx="8">
                  <c:v>3.628031733659514E-2</c:v>
                </c:pt>
                <c:pt idx="9">
                  <c:v>1.6893481475908186E-2</c:v>
                </c:pt>
              </c:numCache>
            </c:numRef>
          </c:val>
          <c:extLst>
            <c:ext xmlns:c16="http://schemas.microsoft.com/office/drawing/2014/chart" uri="{C3380CC4-5D6E-409C-BE32-E72D297353CC}">
              <c16:uniqueId val="{00000001-BF51-4766-9EE5-0860D2BC3BE7}"/>
            </c:ext>
          </c:extLst>
        </c:ser>
        <c:ser>
          <c:idx val="2"/>
          <c:order val="2"/>
          <c:tx>
            <c:strRef>
              <c:f>'NS nephrops under 300kW'!$C$95</c:f>
              <c:strCache>
                <c:ptCount val="1"/>
                <c:pt idx="0">
                  <c:v>Cod</c:v>
                </c:pt>
              </c:strCache>
            </c:strRef>
          </c:tx>
          <c:spPr>
            <a:solidFill>
              <a:srgbClr val="648C2E"/>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300kW'!$D$95:$M$95</c:f>
              <c:numCache>
                <c:formatCode>0%</c:formatCode>
                <c:ptCount val="10"/>
                <c:pt idx="7">
                  <c:v>1.3677016847553309E-2</c:v>
                </c:pt>
                <c:pt idx="8">
                  <c:v>1.2916968165677159E-2</c:v>
                </c:pt>
                <c:pt idx="9">
                  <c:v>7.5414574040248211E-3</c:v>
                </c:pt>
              </c:numCache>
            </c:numRef>
          </c:val>
          <c:extLst>
            <c:ext xmlns:c16="http://schemas.microsoft.com/office/drawing/2014/chart" uri="{C3380CC4-5D6E-409C-BE32-E72D297353CC}">
              <c16:uniqueId val="{00000002-BF51-4766-9EE5-0860D2BC3BE7}"/>
            </c:ext>
          </c:extLst>
        </c:ser>
        <c:ser>
          <c:idx val="3"/>
          <c:order val="3"/>
          <c:tx>
            <c:strRef>
              <c:f>'NS nephrops under 300kW'!$C$96</c:f>
              <c:strCache>
                <c:ptCount val="1"/>
                <c:pt idx="0">
                  <c:v>Haddock</c:v>
                </c:pt>
              </c:strCache>
            </c:strRef>
          </c:tx>
          <c:spPr>
            <a:solidFill>
              <a:srgbClr val="C1D119"/>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300kW'!$D$96:$M$96</c:f>
              <c:numCache>
                <c:formatCode>0%</c:formatCode>
                <c:ptCount val="10"/>
                <c:pt idx="0">
                  <c:v>2.3075835593973661E-2</c:v>
                </c:pt>
                <c:pt idx="1">
                  <c:v>4.4402761661023596E-2</c:v>
                </c:pt>
                <c:pt idx="2">
                  <c:v>1.1199211404180936E-2</c:v>
                </c:pt>
                <c:pt idx="3">
                  <c:v>3.0216558002161765E-2</c:v>
                </c:pt>
                <c:pt idx="4">
                  <c:v>2.8401379329788954E-2</c:v>
                </c:pt>
                <c:pt idx="5">
                  <c:v>2.453333940729438E-2</c:v>
                </c:pt>
                <c:pt idx="6">
                  <c:v>1.6318600818924042E-2</c:v>
                </c:pt>
                <c:pt idx="7">
                  <c:v>2.104001012962247E-2</c:v>
                </c:pt>
                <c:pt idx="8">
                  <c:v>1.1355865963513685E-2</c:v>
                </c:pt>
                <c:pt idx="9">
                  <c:v>8.6591113522291579E-3</c:v>
                </c:pt>
              </c:numCache>
            </c:numRef>
          </c:val>
          <c:extLst>
            <c:ext xmlns:c16="http://schemas.microsoft.com/office/drawing/2014/chart" uri="{C3380CC4-5D6E-409C-BE32-E72D297353CC}">
              <c16:uniqueId val="{00000003-BF51-4766-9EE5-0860D2BC3BE7}"/>
            </c:ext>
          </c:extLst>
        </c:ser>
        <c:ser>
          <c:idx val="4"/>
          <c:order val="4"/>
          <c:tx>
            <c:strRef>
              <c:f>'NS nephrops under 300kW'!$C$97</c:f>
              <c:strCache>
                <c:ptCount val="1"/>
                <c:pt idx="0">
                  <c:v>Whiting</c:v>
                </c:pt>
              </c:strCache>
            </c:strRef>
          </c:tx>
          <c:spPr>
            <a:solidFill>
              <a:srgbClr val="E84A38"/>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300kW'!$D$97:$M$97</c:f>
              <c:numCache>
                <c:formatCode>0%</c:formatCode>
                <c:ptCount val="10"/>
                <c:pt idx="0">
                  <c:v>2.3011969737738051E-2</c:v>
                </c:pt>
                <c:pt idx="1">
                  <c:v>2.0842069134997244E-2</c:v>
                </c:pt>
                <c:pt idx="2">
                  <c:v>2.0350078598338549E-2</c:v>
                </c:pt>
                <c:pt idx="3">
                  <c:v>1.9330306327689461E-2</c:v>
                </c:pt>
                <c:pt idx="8">
                  <c:v>1.056503495677133E-2</c:v>
                </c:pt>
              </c:numCache>
            </c:numRef>
          </c:val>
          <c:extLst>
            <c:ext xmlns:c16="http://schemas.microsoft.com/office/drawing/2014/chart" uri="{C3380CC4-5D6E-409C-BE32-E72D297353CC}">
              <c16:uniqueId val="{00000004-BF51-4766-9EE5-0860D2BC3BE7}"/>
            </c:ext>
          </c:extLst>
        </c:ser>
        <c:ser>
          <c:idx val="5"/>
          <c:order val="5"/>
          <c:tx>
            <c:strRef>
              <c:f>'NS nephrops under 300kW'!$C$98</c:f>
              <c:strCache>
                <c:ptCount val="1"/>
                <c:pt idx="0">
                  <c:v>Squid</c:v>
                </c:pt>
              </c:strCache>
            </c:strRef>
          </c:tx>
          <c:spPr>
            <a:solidFill>
              <a:srgbClr val="0F9AA9"/>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300kW'!$D$98:$M$98</c:f>
              <c:numCache>
                <c:formatCode>0%</c:formatCode>
                <c:ptCount val="10"/>
                <c:pt idx="0">
                  <c:v>1.6965028622457728E-2</c:v>
                </c:pt>
                <c:pt idx="1">
                  <c:v>2.4365318977610517E-2</c:v>
                </c:pt>
                <c:pt idx="2">
                  <c:v>1.8420947575077187E-2</c:v>
                </c:pt>
                <c:pt idx="3">
                  <c:v>4.4863083594433271E-2</c:v>
                </c:pt>
                <c:pt idx="4">
                  <c:v>2.615691440173034E-2</c:v>
                </c:pt>
                <c:pt idx="5">
                  <c:v>2.4877213574446874E-2</c:v>
                </c:pt>
                <c:pt idx="6">
                  <c:v>1.8849319636220087E-2</c:v>
                </c:pt>
                <c:pt idx="7">
                  <c:v>2.3655039947749836E-2</c:v>
                </c:pt>
                <c:pt idx="9">
                  <c:v>7.9192212129556242E-3</c:v>
                </c:pt>
              </c:numCache>
            </c:numRef>
          </c:val>
          <c:extLst>
            <c:ext xmlns:c16="http://schemas.microsoft.com/office/drawing/2014/chart" uri="{C3380CC4-5D6E-409C-BE32-E72D297353CC}">
              <c16:uniqueId val="{00000005-BF51-4766-9EE5-0860D2BC3BE7}"/>
            </c:ext>
          </c:extLst>
        </c:ser>
        <c:ser>
          <c:idx val="6"/>
          <c:order val="6"/>
          <c:tx>
            <c:strRef>
              <c:f>'NS nephrops under 300kW'!$C$99</c:f>
              <c:strCache>
                <c:ptCount val="1"/>
                <c:pt idx="0">
                  <c:v>Sprats</c:v>
                </c:pt>
              </c:strCache>
            </c:strRef>
          </c:tx>
          <c:spPr>
            <a:solidFill>
              <a:srgbClr val="FED825"/>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300kW'!$D$99:$M$99</c:f>
              <c:numCache>
                <c:formatCode>0%</c:formatCode>
                <c:ptCount val="10"/>
                <c:pt idx="6">
                  <c:v>1.6179305055900324E-2</c:v>
                </c:pt>
              </c:numCache>
            </c:numRef>
          </c:val>
          <c:extLst>
            <c:ext xmlns:c16="http://schemas.microsoft.com/office/drawing/2014/chart" uri="{C3380CC4-5D6E-409C-BE32-E72D297353CC}">
              <c16:uniqueId val="{00000006-BF51-4766-9EE5-0860D2BC3BE7}"/>
            </c:ext>
          </c:extLst>
        </c:ser>
        <c:ser>
          <c:idx val="7"/>
          <c:order val="7"/>
          <c:tx>
            <c:strRef>
              <c:f>'NS nephrops under 300kW'!$C$100</c:f>
              <c:strCache>
                <c:ptCount val="1"/>
                <c:pt idx="0">
                  <c:v>Squid</c:v>
                </c:pt>
              </c:strCache>
            </c:strRef>
          </c:tx>
          <c:spPr>
            <a:solidFill>
              <a:srgbClr val="707271"/>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300kW'!$D$100:$M$100</c:f>
              <c:numCache>
                <c:formatCode>0%</c:formatCode>
                <c:ptCount val="10"/>
                <c:pt idx="4">
                  <c:v>3.5272462751545899E-2</c:v>
                </c:pt>
                <c:pt idx="5">
                  <c:v>2.450219798189587E-2</c:v>
                </c:pt>
              </c:numCache>
            </c:numRef>
          </c:val>
          <c:extLst>
            <c:ext xmlns:c16="http://schemas.microsoft.com/office/drawing/2014/chart" uri="{C3380CC4-5D6E-409C-BE32-E72D297353CC}">
              <c16:uniqueId val="{00000007-BF51-4766-9EE5-0860D2BC3BE7}"/>
            </c:ext>
          </c:extLst>
        </c:ser>
        <c:ser>
          <c:idx val="8"/>
          <c:order val="8"/>
          <c:tx>
            <c:strRef>
              <c:f>'NS nephrops under 300kW'!$C$101</c:f>
              <c:strCache>
                <c:ptCount val="1"/>
                <c:pt idx="0">
                  <c:v>Others</c:v>
                </c:pt>
              </c:strCache>
            </c:strRef>
          </c:tx>
          <c:spPr>
            <a:solidFill>
              <a:srgbClr val="55585A"/>
            </a:solidFill>
            <a:ln>
              <a:solidFill>
                <a:srgbClr val="FFFFFF"/>
              </a:solidFill>
            </a:ln>
          </c:spPr>
          <c:invertIfNegative val="0"/>
          <c:cat>
            <c:numRef>
              <c:f>'NS nephrops under 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 nephrops under 300kW'!$D$101:$M$101</c:f>
              <c:numCache>
                <c:formatCode>0%</c:formatCode>
                <c:ptCount val="10"/>
                <c:pt idx="0">
                  <c:v>5.0438727007105895E-2</c:v>
                </c:pt>
                <c:pt idx="1">
                  <c:v>4.4153086938656765E-2</c:v>
                </c:pt>
                <c:pt idx="2">
                  <c:v>4.3857644718257843E-2</c:v>
                </c:pt>
                <c:pt idx="3">
                  <c:v>5.5415433199541377E-2</c:v>
                </c:pt>
                <c:pt idx="4">
                  <c:v>7.5590546647574336E-2</c:v>
                </c:pt>
                <c:pt idx="5">
                  <c:v>5.2580216686667645E-2</c:v>
                </c:pt>
                <c:pt idx="6">
                  <c:v>5.916362780488936E-2</c:v>
                </c:pt>
                <c:pt idx="7">
                  <c:v>5.1700561679680943E-2</c:v>
                </c:pt>
                <c:pt idx="8">
                  <c:v>7.0516664123711256E-2</c:v>
                </c:pt>
                <c:pt idx="9">
                  <c:v>3.2967184868069474E-2</c:v>
                </c:pt>
              </c:numCache>
            </c:numRef>
          </c:val>
          <c:extLst>
            <c:ext xmlns:c16="http://schemas.microsoft.com/office/drawing/2014/chart" uri="{C3380CC4-5D6E-409C-BE32-E72D297353CC}">
              <c16:uniqueId val="{00000008-BF51-4766-9EE5-0860D2BC3BE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under 300kW'!$B$163</c:f>
              <c:strCache>
                <c:ptCount val="1"/>
                <c:pt idx="0">
                  <c:v>Nephrops</c:v>
                </c:pt>
              </c:strCache>
            </c:strRef>
          </c:tx>
          <c:spPr>
            <a:solidFill>
              <a:srgbClr val="2273B9"/>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300kW'!$C$163:$E$163</c:f>
              <c:numCache>
                <c:formatCode>0%</c:formatCode>
                <c:ptCount val="3"/>
                <c:pt idx="0">
                  <c:v>0.78989434191705765</c:v>
                </c:pt>
                <c:pt idx="1">
                  <c:v>0.86945933564296074</c:v>
                </c:pt>
                <c:pt idx="2">
                  <c:v>0.91391850089111382</c:v>
                </c:pt>
              </c:numCache>
            </c:numRef>
          </c:val>
          <c:extLst>
            <c:ext xmlns:c16="http://schemas.microsoft.com/office/drawing/2014/chart" uri="{C3380CC4-5D6E-409C-BE32-E72D297353CC}">
              <c16:uniqueId val="{00000000-A1D6-4076-9F26-28FC1121E20C}"/>
            </c:ext>
          </c:extLst>
        </c:ser>
        <c:ser>
          <c:idx val="1"/>
          <c:order val="1"/>
          <c:tx>
            <c:strRef>
              <c:f>'NS nephrops under 300kW'!$B$164</c:f>
              <c:strCache>
                <c:ptCount val="1"/>
                <c:pt idx="0">
                  <c:v>Anglerfish</c:v>
                </c:pt>
              </c:strCache>
            </c:strRef>
          </c:tx>
          <c:spPr>
            <a:solidFill>
              <a:srgbClr val="E87308"/>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300kW'!$C$164:$E$164</c:f>
              <c:numCache>
                <c:formatCode>0%</c:formatCode>
                <c:ptCount val="3"/>
                <c:pt idx="0">
                  <c:v>5.2554718912924972E-2</c:v>
                </c:pt>
                <c:pt idx="1">
                  <c:v>3.4232960685743587E-2</c:v>
                </c:pt>
                <c:pt idx="2">
                  <c:v>0</c:v>
                </c:pt>
              </c:numCache>
            </c:numRef>
          </c:val>
          <c:extLst>
            <c:ext xmlns:c16="http://schemas.microsoft.com/office/drawing/2014/chart" uri="{C3380CC4-5D6E-409C-BE32-E72D297353CC}">
              <c16:uniqueId val="{00000001-A1D6-4076-9F26-28FC1121E20C}"/>
            </c:ext>
          </c:extLst>
        </c:ser>
        <c:ser>
          <c:idx val="2"/>
          <c:order val="2"/>
          <c:tx>
            <c:strRef>
              <c:f>'NS nephrops under 300kW'!$B$165</c:f>
              <c:strCache>
                <c:ptCount val="1"/>
                <c:pt idx="0">
                  <c:v>Haddock</c:v>
                </c:pt>
              </c:strCache>
            </c:strRef>
          </c:tx>
          <c:spPr>
            <a:solidFill>
              <a:srgbClr val="C1D119"/>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300kW'!$C$165:$E$165</c:f>
              <c:numCache>
                <c:formatCode>0%</c:formatCode>
                <c:ptCount val="3"/>
                <c:pt idx="0">
                  <c:v>4.2119920351673334E-2</c:v>
                </c:pt>
                <c:pt idx="1">
                  <c:v>3.2663016059073374E-2</c:v>
                </c:pt>
                <c:pt idx="2">
                  <c:v>0</c:v>
                </c:pt>
              </c:numCache>
            </c:numRef>
          </c:val>
          <c:extLst>
            <c:ext xmlns:c16="http://schemas.microsoft.com/office/drawing/2014/chart" uri="{C3380CC4-5D6E-409C-BE32-E72D297353CC}">
              <c16:uniqueId val="{00000002-A1D6-4076-9F26-28FC1121E20C}"/>
            </c:ext>
          </c:extLst>
        </c:ser>
        <c:ser>
          <c:idx val="3"/>
          <c:order val="3"/>
          <c:tx>
            <c:strRef>
              <c:f>'NS nephrops under 300kW'!$B$166</c:f>
              <c:strCache>
                <c:ptCount val="1"/>
                <c:pt idx="0">
                  <c:v>Whiting</c:v>
                </c:pt>
              </c:strCache>
            </c:strRef>
          </c:tx>
          <c:spPr>
            <a:solidFill>
              <a:srgbClr val="E84A38"/>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300kW'!$C$166:$E$166</c:f>
              <c:numCache>
                <c:formatCode>0%</c:formatCode>
                <c:ptCount val="3"/>
                <c:pt idx="0">
                  <c:v>3.2049813837469888E-2</c:v>
                </c:pt>
                <c:pt idx="1">
                  <c:v>2.9365579867546419E-2</c:v>
                </c:pt>
                <c:pt idx="2">
                  <c:v>9.6222019193875317E-3</c:v>
                </c:pt>
              </c:numCache>
            </c:numRef>
          </c:val>
          <c:extLst>
            <c:ext xmlns:c16="http://schemas.microsoft.com/office/drawing/2014/chart" uri="{C3380CC4-5D6E-409C-BE32-E72D297353CC}">
              <c16:uniqueId val="{00000003-A1D6-4076-9F26-28FC1121E20C}"/>
            </c:ext>
          </c:extLst>
        </c:ser>
        <c:ser>
          <c:idx val="4"/>
          <c:order val="4"/>
          <c:tx>
            <c:strRef>
              <c:f>'NS nephrops under 300kW'!$B$167</c:f>
              <c:strCache>
                <c:ptCount val="1"/>
                <c:pt idx="0">
                  <c:v>Cod</c:v>
                </c:pt>
              </c:strCache>
            </c:strRef>
          </c:tx>
          <c:spPr>
            <a:solidFill>
              <a:srgbClr val="648C2E"/>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300kW'!$C$167:$E$167</c:f>
              <c:numCache>
                <c:formatCode>0%</c:formatCode>
                <c:ptCount val="3"/>
                <c:pt idx="0">
                  <c:v>1.6920086101262166E-2</c:v>
                </c:pt>
                <c:pt idx="1">
                  <c:v>1.100454293798718E-2</c:v>
                </c:pt>
                <c:pt idx="2">
                  <c:v>0</c:v>
                </c:pt>
              </c:numCache>
            </c:numRef>
          </c:val>
          <c:extLst>
            <c:ext xmlns:c16="http://schemas.microsoft.com/office/drawing/2014/chart" uri="{C3380CC4-5D6E-409C-BE32-E72D297353CC}">
              <c16:uniqueId val="{00000004-A1D6-4076-9F26-28FC1121E20C}"/>
            </c:ext>
          </c:extLst>
        </c:ser>
        <c:ser>
          <c:idx val="5"/>
          <c:order val="5"/>
          <c:tx>
            <c:strRef>
              <c:f>'NS nephrops under 300kW'!$B$168</c:f>
              <c:strCache>
                <c:ptCount val="1"/>
                <c:pt idx="0">
                  <c:v>Squid</c:v>
                </c:pt>
              </c:strCache>
            </c:strRef>
          </c:tx>
          <c:spPr>
            <a:solidFill>
              <a:srgbClr val="0F9AA9"/>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300kW'!$C$168:$E$168</c:f>
              <c:numCache>
                <c:formatCode>0%</c:formatCode>
                <c:ptCount val="3"/>
                <c:pt idx="0">
                  <c:v>0</c:v>
                </c:pt>
                <c:pt idx="1">
                  <c:v>0</c:v>
                </c:pt>
                <c:pt idx="2">
                  <c:v>1.5693721955296093E-2</c:v>
                </c:pt>
              </c:numCache>
            </c:numRef>
          </c:val>
          <c:extLst>
            <c:ext xmlns:c16="http://schemas.microsoft.com/office/drawing/2014/chart" uri="{C3380CC4-5D6E-409C-BE32-E72D297353CC}">
              <c16:uniqueId val="{00000005-A1D6-4076-9F26-28FC1121E20C}"/>
            </c:ext>
          </c:extLst>
        </c:ser>
        <c:ser>
          <c:idx val="6"/>
          <c:order val="6"/>
          <c:tx>
            <c:strRef>
              <c:f>'NS nephrops under 300kW'!$B$169</c:f>
              <c:strCache>
                <c:ptCount val="1"/>
                <c:pt idx="0">
                  <c:v>Scallops</c:v>
                </c:pt>
              </c:strCache>
            </c:strRef>
          </c:tx>
          <c:spPr>
            <a:solidFill>
              <a:srgbClr val="FED825"/>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300kW'!$C$169:$E$169</c:f>
              <c:numCache>
                <c:formatCode>0%</c:formatCode>
                <c:ptCount val="3"/>
                <c:pt idx="0">
                  <c:v>0</c:v>
                </c:pt>
                <c:pt idx="1">
                  <c:v>0</c:v>
                </c:pt>
                <c:pt idx="2">
                  <c:v>1.2535817642237795E-2</c:v>
                </c:pt>
              </c:numCache>
            </c:numRef>
          </c:val>
          <c:extLst>
            <c:ext xmlns:c16="http://schemas.microsoft.com/office/drawing/2014/chart" uri="{C3380CC4-5D6E-409C-BE32-E72D297353CC}">
              <c16:uniqueId val="{00000006-A1D6-4076-9F26-28FC1121E20C}"/>
            </c:ext>
          </c:extLst>
        </c:ser>
        <c:ser>
          <c:idx val="7"/>
          <c:order val="7"/>
          <c:tx>
            <c:strRef>
              <c:f>'NS nephrops under 300kW'!$B$170</c:f>
              <c:strCache>
                <c:ptCount val="1"/>
                <c:pt idx="0">
                  <c:v>Others</c:v>
                </c:pt>
              </c:strCache>
            </c:strRef>
          </c:tx>
          <c:spPr>
            <a:solidFill>
              <a:srgbClr val="55585A"/>
            </a:solidFill>
            <a:ln>
              <a:solidFill>
                <a:srgbClr val="FFFFFF"/>
              </a:solidFill>
            </a:ln>
          </c:spPr>
          <c:invertIfNegative val="0"/>
          <c:cat>
            <c:strRef>
              <c:f>'NS nephrops under 300kW'!$C$162:$E$162</c:f>
              <c:strCache>
                <c:ptCount val="3"/>
                <c:pt idx="0">
                  <c:v>Most
profitable
quartile</c:v>
                </c:pt>
                <c:pt idx="1">
                  <c:v>Middle 
two quartiles</c:v>
                </c:pt>
                <c:pt idx="2">
                  <c:v>Least
profitable
quartile</c:v>
                </c:pt>
              </c:strCache>
            </c:strRef>
          </c:cat>
          <c:val>
            <c:numRef>
              <c:f>'NS nephrops under 300kW'!$C$170:$E$170</c:f>
              <c:numCache>
                <c:formatCode>0%</c:formatCode>
                <c:ptCount val="3"/>
                <c:pt idx="0">
                  <c:v>6.6461118879612036E-2</c:v>
                </c:pt>
                <c:pt idx="1">
                  <c:v>2.3274564806688769E-2</c:v>
                </c:pt>
                <c:pt idx="2">
                  <c:v>3.5289984420015075E-2</c:v>
                </c:pt>
              </c:numCache>
            </c:numRef>
          </c:val>
          <c:extLst>
            <c:ext xmlns:c16="http://schemas.microsoft.com/office/drawing/2014/chart" uri="{C3380CC4-5D6E-409C-BE32-E72D297353CC}">
              <c16:uniqueId val="{00000007-A1D6-4076-9F26-28FC1121E20C}"/>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under 300kW'!$H$163</c:f>
              <c:strCache>
                <c:ptCount val="1"/>
                <c:pt idx="0">
                  <c:v>Nephrops</c:v>
                </c:pt>
              </c:strCache>
            </c:strRef>
          </c:tx>
          <c:spPr>
            <a:solidFill>
              <a:srgbClr val="2273B9"/>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300kW'!$I$163:$K$163</c:f>
              <c:numCache>
                <c:formatCode>0%</c:formatCode>
                <c:ptCount val="3"/>
                <c:pt idx="0">
                  <c:v>0.79580064531253925</c:v>
                </c:pt>
                <c:pt idx="1">
                  <c:v>0.90229325651934977</c:v>
                </c:pt>
                <c:pt idx="2">
                  <c:v>0.88860179836064868</c:v>
                </c:pt>
              </c:numCache>
            </c:numRef>
          </c:val>
          <c:extLst>
            <c:ext xmlns:c16="http://schemas.microsoft.com/office/drawing/2014/chart" uri="{C3380CC4-5D6E-409C-BE32-E72D297353CC}">
              <c16:uniqueId val="{00000000-EA7B-47FB-98B3-0E68EAAF2ADD}"/>
            </c:ext>
          </c:extLst>
        </c:ser>
        <c:ser>
          <c:idx val="1"/>
          <c:order val="1"/>
          <c:tx>
            <c:strRef>
              <c:f>'NS nephrops under 300kW'!$H$164</c:f>
              <c:strCache>
                <c:ptCount val="1"/>
                <c:pt idx="0">
                  <c:v>Anglerfish</c:v>
                </c:pt>
              </c:strCache>
            </c:strRef>
          </c:tx>
          <c:spPr>
            <a:solidFill>
              <a:srgbClr val="E87308"/>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300kW'!$I$164:$K$164</c:f>
              <c:numCache>
                <c:formatCode>0%</c:formatCode>
                <c:ptCount val="3"/>
                <c:pt idx="0">
                  <c:v>5.574232597617796E-2</c:v>
                </c:pt>
                <c:pt idx="1">
                  <c:v>3.455810022603345E-2</c:v>
                </c:pt>
                <c:pt idx="2">
                  <c:v>0</c:v>
                </c:pt>
              </c:numCache>
            </c:numRef>
          </c:val>
          <c:extLst>
            <c:ext xmlns:c16="http://schemas.microsoft.com/office/drawing/2014/chart" uri="{C3380CC4-5D6E-409C-BE32-E72D297353CC}">
              <c16:uniqueId val="{00000001-EA7B-47FB-98B3-0E68EAAF2ADD}"/>
            </c:ext>
          </c:extLst>
        </c:ser>
        <c:ser>
          <c:idx val="2"/>
          <c:order val="2"/>
          <c:tx>
            <c:strRef>
              <c:f>'NS nephrops under 300kW'!$H$165</c:f>
              <c:strCache>
                <c:ptCount val="1"/>
                <c:pt idx="0">
                  <c:v>Haddock</c:v>
                </c:pt>
              </c:strCache>
            </c:strRef>
          </c:tx>
          <c:spPr>
            <a:solidFill>
              <a:srgbClr val="C1D119"/>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300kW'!$I$165:$K$165</c:f>
              <c:numCache>
                <c:formatCode>0%</c:formatCode>
                <c:ptCount val="3"/>
                <c:pt idx="0">
                  <c:v>0</c:v>
                </c:pt>
                <c:pt idx="1">
                  <c:v>1.3227685625694914E-2</c:v>
                </c:pt>
                <c:pt idx="2">
                  <c:v>0</c:v>
                </c:pt>
              </c:numCache>
            </c:numRef>
          </c:val>
          <c:extLst>
            <c:ext xmlns:c16="http://schemas.microsoft.com/office/drawing/2014/chart" uri="{C3380CC4-5D6E-409C-BE32-E72D297353CC}">
              <c16:uniqueId val="{00000002-EA7B-47FB-98B3-0E68EAAF2ADD}"/>
            </c:ext>
          </c:extLst>
        </c:ser>
        <c:ser>
          <c:idx val="3"/>
          <c:order val="3"/>
          <c:tx>
            <c:strRef>
              <c:f>'NS nephrops under 300kW'!$H$166</c:f>
              <c:strCache>
                <c:ptCount val="1"/>
                <c:pt idx="0">
                  <c:v>Cod</c:v>
                </c:pt>
              </c:strCache>
            </c:strRef>
          </c:tx>
          <c:spPr>
            <a:solidFill>
              <a:srgbClr val="648C2E"/>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300kW'!$I$166:$K$166</c:f>
              <c:numCache>
                <c:formatCode>0%</c:formatCode>
                <c:ptCount val="3"/>
                <c:pt idx="0">
                  <c:v>1.9905571106664039E-2</c:v>
                </c:pt>
                <c:pt idx="1">
                  <c:v>1.2206099887827131E-2</c:v>
                </c:pt>
                <c:pt idx="2">
                  <c:v>0</c:v>
                </c:pt>
              </c:numCache>
            </c:numRef>
          </c:val>
          <c:extLst>
            <c:ext xmlns:c16="http://schemas.microsoft.com/office/drawing/2014/chart" uri="{C3380CC4-5D6E-409C-BE32-E72D297353CC}">
              <c16:uniqueId val="{00000003-EA7B-47FB-98B3-0E68EAAF2ADD}"/>
            </c:ext>
          </c:extLst>
        </c:ser>
        <c:ser>
          <c:idx val="4"/>
          <c:order val="4"/>
          <c:tx>
            <c:strRef>
              <c:f>'NS nephrops under 300kW'!$H$167</c:f>
              <c:strCache>
                <c:ptCount val="1"/>
                <c:pt idx="0">
                  <c:v>Whiting</c:v>
                </c:pt>
              </c:strCache>
            </c:strRef>
          </c:tx>
          <c:spPr>
            <a:solidFill>
              <a:srgbClr val="E84A38"/>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300kW'!$I$167:$K$167</c:f>
              <c:numCache>
                <c:formatCode>0%</c:formatCode>
                <c:ptCount val="3"/>
                <c:pt idx="0">
                  <c:v>0</c:v>
                </c:pt>
                <c:pt idx="1">
                  <c:v>1.1560473498630911E-2</c:v>
                </c:pt>
                <c:pt idx="2">
                  <c:v>0</c:v>
                </c:pt>
              </c:numCache>
            </c:numRef>
          </c:val>
          <c:extLst>
            <c:ext xmlns:c16="http://schemas.microsoft.com/office/drawing/2014/chart" uri="{C3380CC4-5D6E-409C-BE32-E72D297353CC}">
              <c16:uniqueId val="{00000004-EA7B-47FB-98B3-0E68EAAF2ADD}"/>
            </c:ext>
          </c:extLst>
        </c:ser>
        <c:ser>
          <c:idx val="5"/>
          <c:order val="5"/>
          <c:tx>
            <c:strRef>
              <c:f>'NS nephrops under 300kW'!$H$168</c:f>
              <c:strCache>
                <c:ptCount val="1"/>
                <c:pt idx="0">
                  <c:v>Squid</c:v>
                </c:pt>
              </c:strCache>
            </c:strRef>
          </c:tx>
          <c:spPr>
            <a:solidFill>
              <a:srgbClr val="0F9AA9"/>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300kW'!$I$168:$K$168</c:f>
              <c:numCache>
                <c:formatCode>0%</c:formatCode>
                <c:ptCount val="3"/>
                <c:pt idx="0">
                  <c:v>0</c:v>
                </c:pt>
                <c:pt idx="1">
                  <c:v>0</c:v>
                </c:pt>
                <c:pt idx="2">
                  <c:v>2.585216077655304E-2</c:v>
                </c:pt>
              </c:numCache>
            </c:numRef>
          </c:val>
          <c:extLst>
            <c:ext xmlns:c16="http://schemas.microsoft.com/office/drawing/2014/chart" uri="{C3380CC4-5D6E-409C-BE32-E72D297353CC}">
              <c16:uniqueId val="{00000005-EA7B-47FB-98B3-0E68EAAF2ADD}"/>
            </c:ext>
          </c:extLst>
        </c:ser>
        <c:ser>
          <c:idx val="6"/>
          <c:order val="6"/>
          <c:tx>
            <c:strRef>
              <c:f>'NS nephrops under 300kW'!$H$169</c:f>
              <c:strCache>
                <c:ptCount val="1"/>
                <c:pt idx="0">
                  <c:v>Scallops</c:v>
                </c:pt>
              </c:strCache>
            </c:strRef>
          </c:tx>
          <c:spPr>
            <a:solidFill>
              <a:srgbClr val="FED825"/>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300kW'!$I$169:$K$169</c:f>
              <c:numCache>
                <c:formatCode>0%</c:formatCode>
                <c:ptCount val="3"/>
                <c:pt idx="0">
                  <c:v>0</c:v>
                </c:pt>
                <c:pt idx="1">
                  <c:v>0</c:v>
                </c:pt>
                <c:pt idx="2">
                  <c:v>1.6087043820457756E-2</c:v>
                </c:pt>
              </c:numCache>
            </c:numRef>
          </c:val>
          <c:extLst>
            <c:ext xmlns:c16="http://schemas.microsoft.com/office/drawing/2014/chart" uri="{C3380CC4-5D6E-409C-BE32-E72D297353CC}">
              <c16:uniqueId val="{00000006-EA7B-47FB-98B3-0E68EAAF2ADD}"/>
            </c:ext>
          </c:extLst>
        </c:ser>
        <c:ser>
          <c:idx val="7"/>
          <c:order val="7"/>
          <c:tx>
            <c:strRef>
              <c:f>'NS nephrops under 300kW'!$H$170</c:f>
              <c:strCache>
                <c:ptCount val="1"/>
                <c:pt idx="0">
                  <c:v>Turbot</c:v>
                </c:pt>
              </c:strCache>
            </c:strRef>
          </c:tx>
          <c:spPr>
            <a:solidFill>
              <a:srgbClr val="707271"/>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300kW'!$I$170:$K$170</c:f>
              <c:numCache>
                <c:formatCode>0%</c:formatCode>
                <c:ptCount val="3"/>
                <c:pt idx="0">
                  <c:v>0</c:v>
                </c:pt>
                <c:pt idx="1">
                  <c:v>0</c:v>
                </c:pt>
                <c:pt idx="2">
                  <c:v>1.0663732862210661E-2</c:v>
                </c:pt>
              </c:numCache>
            </c:numRef>
          </c:val>
          <c:extLst>
            <c:ext xmlns:c16="http://schemas.microsoft.com/office/drawing/2014/chart" uri="{C3380CC4-5D6E-409C-BE32-E72D297353CC}">
              <c16:uniqueId val="{00000007-EA7B-47FB-98B3-0E68EAAF2ADD}"/>
            </c:ext>
          </c:extLst>
        </c:ser>
        <c:ser>
          <c:idx val="8"/>
          <c:order val="8"/>
          <c:tx>
            <c:strRef>
              <c:f>'NS nephrops under 300kW'!$H$171</c:f>
              <c:strCache>
                <c:ptCount val="1"/>
                <c:pt idx="0">
                  <c:v>Lobsters</c:v>
                </c:pt>
              </c:strCache>
            </c:strRef>
          </c:tx>
          <c:spPr>
            <a:solidFill>
              <a:srgbClr val="51AA81"/>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300kW'!$I$171:$K$171</c:f>
              <c:numCache>
                <c:formatCode>0%</c:formatCode>
                <c:ptCount val="3"/>
                <c:pt idx="0">
                  <c:v>2.6635950304269716E-2</c:v>
                </c:pt>
                <c:pt idx="1">
                  <c:v>0</c:v>
                </c:pt>
                <c:pt idx="2">
                  <c:v>0</c:v>
                </c:pt>
              </c:numCache>
            </c:numRef>
          </c:val>
          <c:extLst>
            <c:ext xmlns:c16="http://schemas.microsoft.com/office/drawing/2014/chart" uri="{C3380CC4-5D6E-409C-BE32-E72D297353CC}">
              <c16:uniqueId val="{00000008-EA7B-47FB-98B3-0E68EAAF2ADD}"/>
            </c:ext>
          </c:extLst>
        </c:ser>
        <c:ser>
          <c:idx val="9"/>
          <c:order val="9"/>
          <c:tx>
            <c:strRef>
              <c:f>'NS nephrops under 300kW'!$H$172</c:f>
              <c:strCache>
                <c:ptCount val="1"/>
                <c:pt idx="0">
                  <c:v>Common Prawns</c:v>
                </c:pt>
              </c:strCache>
            </c:strRef>
          </c:tx>
          <c:spPr>
            <a:solidFill>
              <a:srgbClr val="169FDB"/>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300kW'!$I$172:$K$172</c:f>
              <c:numCache>
                <c:formatCode>0%</c:formatCode>
                <c:ptCount val="3"/>
                <c:pt idx="0">
                  <c:v>2.4675463785502276E-2</c:v>
                </c:pt>
                <c:pt idx="1">
                  <c:v>0</c:v>
                </c:pt>
                <c:pt idx="2">
                  <c:v>0</c:v>
                </c:pt>
              </c:numCache>
            </c:numRef>
          </c:val>
          <c:extLst>
            <c:ext xmlns:c16="http://schemas.microsoft.com/office/drawing/2014/chart" uri="{C3380CC4-5D6E-409C-BE32-E72D297353CC}">
              <c16:uniqueId val="{00000009-EA7B-47FB-98B3-0E68EAAF2ADD}"/>
            </c:ext>
          </c:extLst>
        </c:ser>
        <c:ser>
          <c:idx val="10"/>
          <c:order val="10"/>
          <c:tx>
            <c:strRef>
              <c:f>'NS nephrops under 300kW'!$H$173</c:f>
              <c:strCache>
                <c:ptCount val="1"/>
                <c:pt idx="0">
                  <c:v>Others</c:v>
                </c:pt>
              </c:strCache>
            </c:strRef>
          </c:tx>
          <c:spPr>
            <a:solidFill>
              <a:srgbClr val="55585A"/>
            </a:solidFill>
            <a:ln>
              <a:solidFill>
                <a:srgbClr val="FFFFFF"/>
              </a:solidFill>
            </a:ln>
          </c:spPr>
          <c:invertIfNegative val="0"/>
          <c:cat>
            <c:strRef>
              <c:f>'NS nephrops under 300kW'!$I$162:$K$162</c:f>
              <c:strCache>
                <c:ptCount val="3"/>
                <c:pt idx="0">
                  <c:v>Most
profitable
quartile</c:v>
                </c:pt>
                <c:pt idx="1">
                  <c:v>Middle 
two quartiles</c:v>
                </c:pt>
                <c:pt idx="2">
                  <c:v>Least
profitable
quartile</c:v>
                </c:pt>
              </c:strCache>
            </c:strRef>
          </c:cat>
          <c:val>
            <c:numRef>
              <c:f>'NS nephrops under 300kW'!$I$173:$K$173</c:f>
              <c:numCache>
                <c:formatCode>0%</c:formatCode>
                <c:ptCount val="3"/>
                <c:pt idx="0">
                  <c:v>7.7240043514846812E-2</c:v>
                </c:pt>
                <c:pt idx="1">
                  <c:v>2.6154384242463857E-2</c:v>
                </c:pt>
                <c:pt idx="2">
                  <c:v>3.7320504206400873E-2</c:v>
                </c:pt>
              </c:numCache>
            </c:numRef>
          </c:val>
          <c:extLst>
            <c:ext xmlns:c16="http://schemas.microsoft.com/office/drawing/2014/chart" uri="{C3380CC4-5D6E-409C-BE32-E72D297353CC}">
              <c16:uniqueId val="{0000000A-EA7B-47FB-98B3-0E68EAAF2AD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under 300kW'!$K$140</c:f>
              <c:strCache>
                <c:ptCount val="1"/>
                <c:pt idx="0">
                  <c:v>Total income</c:v>
                </c:pt>
              </c:strCache>
            </c:strRef>
          </c:tx>
          <c:spPr>
            <a:solidFill>
              <a:srgbClr val="087CBB"/>
            </a:solidFill>
            <a:ln>
              <a:solidFill>
                <a:schemeClr val="accent1"/>
              </a:solidFill>
            </a:ln>
          </c:spPr>
          <c:invertIfNegative val="0"/>
          <c:cat>
            <c:strRef>
              <c:f>'NS nephrops under 300kW'!$L$139:$N$139</c:f>
              <c:strCache>
                <c:ptCount val="3"/>
                <c:pt idx="0">
                  <c:v>Most
profitable
quartile</c:v>
                </c:pt>
                <c:pt idx="1">
                  <c:v>Middle
two quartiles</c:v>
                </c:pt>
                <c:pt idx="2">
                  <c:v>Least
profitable
quartile</c:v>
                </c:pt>
              </c:strCache>
            </c:strRef>
          </c:cat>
          <c:val>
            <c:numRef>
              <c:f>'NS nephrops under 300kW'!$L$140:$N$140</c:f>
              <c:numCache>
                <c:formatCode>#,##0</c:formatCode>
                <c:ptCount val="3"/>
                <c:pt idx="0">
                  <c:v>178.96648437499999</c:v>
                </c:pt>
                <c:pt idx="1">
                  <c:v>126.98884375</c:v>
                </c:pt>
                <c:pt idx="2">
                  <c:v>100.89403125</c:v>
                </c:pt>
              </c:numCache>
            </c:numRef>
          </c:val>
          <c:extLst>
            <c:ext xmlns:c16="http://schemas.microsoft.com/office/drawing/2014/chart" uri="{C3380CC4-5D6E-409C-BE32-E72D297353CC}">
              <c16:uniqueId val="{00000000-DF8E-46B7-A602-8B494EEBB78D}"/>
            </c:ext>
          </c:extLst>
        </c:ser>
        <c:ser>
          <c:idx val="1"/>
          <c:order val="1"/>
          <c:tx>
            <c:strRef>
              <c:f>'NS nephrops under 300kW'!$K$141</c:f>
              <c:strCache>
                <c:ptCount val="1"/>
                <c:pt idx="0">
                  <c:v>Operating costs</c:v>
                </c:pt>
              </c:strCache>
            </c:strRef>
          </c:tx>
          <c:spPr>
            <a:solidFill>
              <a:srgbClr val="E87308"/>
            </a:solidFill>
          </c:spPr>
          <c:invertIfNegative val="0"/>
          <c:cat>
            <c:strRef>
              <c:f>'NS nephrops under 300kW'!$L$139:$N$139</c:f>
              <c:strCache>
                <c:ptCount val="3"/>
                <c:pt idx="0">
                  <c:v>Most
profitable
quartile</c:v>
                </c:pt>
                <c:pt idx="1">
                  <c:v>Middle
two quartiles</c:v>
                </c:pt>
                <c:pt idx="2">
                  <c:v>Least
profitable
quartile</c:v>
                </c:pt>
              </c:strCache>
            </c:strRef>
          </c:cat>
          <c:val>
            <c:numRef>
              <c:f>'NS nephrops under 300kW'!$L$141:$N$141</c:f>
              <c:numCache>
                <c:formatCode>#,##0</c:formatCode>
                <c:ptCount val="3"/>
                <c:pt idx="0">
                  <c:v>128.90335937500001</c:v>
                </c:pt>
                <c:pt idx="1">
                  <c:v>107.87848046875</c:v>
                </c:pt>
                <c:pt idx="2">
                  <c:v>107.091640625</c:v>
                </c:pt>
              </c:numCache>
            </c:numRef>
          </c:val>
          <c:extLst>
            <c:ext xmlns:c16="http://schemas.microsoft.com/office/drawing/2014/chart" uri="{C3380CC4-5D6E-409C-BE32-E72D297353CC}">
              <c16:uniqueId val="{00000001-DF8E-46B7-A602-8B494EEBB78D}"/>
            </c:ext>
          </c:extLst>
        </c:ser>
        <c:ser>
          <c:idx val="2"/>
          <c:order val="2"/>
          <c:tx>
            <c:strRef>
              <c:f>'NS nephrops under 300kW'!$K$142</c:f>
              <c:strCache>
                <c:ptCount val="1"/>
                <c:pt idx="0">
                  <c:v>Operating profit</c:v>
                </c:pt>
              </c:strCache>
            </c:strRef>
          </c:tx>
          <c:spPr>
            <a:solidFill>
              <a:srgbClr val="51AA81"/>
            </a:solidFill>
          </c:spPr>
          <c:invertIfNegative val="0"/>
          <c:cat>
            <c:strRef>
              <c:f>'NS nephrops under 300kW'!$L$139:$N$139</c:f>
              <c:strCache>
                <c:ptCount val="3"/>
                <c:pt idx="0">
                  <c:v>Most
profitable
quartile</c:v>
                </c:pt>
                <c:pt idx="1">
                  <c:v>Middle
two quartiles</c:v>
                </c:pt>
                <c:pt idx="2">
                  <c:v>Least
profitable
quartile</c:v>
                </c:pt>
              </c:strCache>
            </c:strRef>
          </c:cat>
          <c:val>
            <c:numRef>
              <c:f>'NS nephrops under 300kW'!$L$142:$N$142</c:f>
              <c:numCache>
                <c:formatCode>#,##0</c:formatCode>
                <c:ptCount val="3"/>
                <c:pt idx="0">
                  <c:v>50.063124999999999</c:v>
                </c:pt>
                <c:pt idx="1">
                  <c:v>19.110363281249999</c:v>
                </c:pt>
                <c:pt idx="2">
                  <c:v>-6.1976093749999999</c:v>
                </c:pt>
              </c:numCache>
            </c:numRef>
          </c:val>
          <c:extLst>
            <c:ext xmlns:c16="http://schemas.microsoft.com/office/drawing/2014/chart" uri="{C3380CC4-5D6E-409C-BE32-E72D297353CC}">
              <c16:uniqueId val="{00000002-DF8E-46B7-A602-8B494EEBB78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nephrops under 300kW'!$K$143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24m'!$A$49</c:f>
          <c:strCache>
            <c:ptCount val="1"/>
            <c:pt idx="0">
              <c:v>Landings per kW day at sea (kg)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AD9D-4E5C-B0FA-F027C5C27F4A}"/>
              </c:ext>
            </c:extLst>
          </c:dPt>
          <c:dPt>
            <c:idx val="10"/>
            <c:bubble3D val="0"/>
            <c:spPr>
              <a:ln w="57150">
                <a:solidFill>
                  <a:srgbClr val="2273B9"/>
                </a:solidFill>
                <a:prstDash val="sysDot"/>
              </a:ln>
            </c:spPr>
            <c:extLst>
              <c:ext xmlns:c16="http://schemas.microsoft.com/office/drawing/2014/chart" uri="{C3380CC4-5D6E-409C-BE32-E72D297353CC}">
                <c16:uniqueId val="{00000003-AD9D-4E5C-B0FA-F027C5C27F4A}"/>
              </c:ext>
            </c:extLst>
          </c:dPt>
          <c:cat>
            <c:numRef>
              <c:f>'NSWOS demersal over 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over 24m'!$D$22:$N$22</c:f>
              <c:numCache>
                <c:formatCode>#,##0.00</c:formatCode>
                <c:ptCount val="11"/>
                <c:pt idx="0">
                  <c:v>4.9229078935666379</c:v>
                </c:pt>
                <c:pt idx="1">
                  <c:v>6.5218807494104132</c:v>
                </c:pt>
                <c:pt idx="2">
                  <c:v>5.9072705216827153</c:v>
                </c:pt>
                <c:pt idx="3">
                  <c:v>5.6670269523047017</c:v>
                </c:pt>
                <c:pt idx="4">
                  <c:v>6.1898789476587153</c:v>
                </c:pt>
                <c:pt idx="5">
                  <c:v>6.3036385768676633</c:v>
                </c:pt>
                <c:pt idx="6">
                  <c:v>5.9475518317611984</c:v>
                </c:pt>
                <c:pt idx="7">
                  <c:v>5.9371070047913292</c:v>
                </c:pt>
                <c:pt idx="8">
                  <c:v>5.2975157108727036</c:v>
                </c:pt>
                <c:pt idx="9">
                  <c:v>5.0287486367302883</c:v>
                </c:pt>
                <c:pt idx="10">
                  <c:v>5.5183192460771169</c:v>
                </c:pt>
              </c:numCache>
            </c:numRef>
          </c:val>
          <c:smooth val="0"/>
          <c:extLst>
            <c:ext xmlns:c16="http://schemas.microsoft.com/office/drawing/2014/chart" uri="{C3380CC4-5D6E-409C-BE32-E72D297353CC}">
              <c16:uniqueId val="{00000004-AD9D-4E5C-B0FA-F027C5C27F4A}"/>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24m'!$A$50</c:f>
          <c:strCache>
            <c:ptCount val="1"/>
            <c:pt idx="0">
              <c:v>Fishing income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35D6-462E-83E3-A10DB6981516}"/>
              </c:ext>
            </c:extLst>
          </c:dPt>
          <c:dPt>
            <c:idx val="10"/>
            <c:bubble3D val="0"/>
            <c:spPr>
              <a:ln w="57150">
                <a:solidFill>
                  <a:srgbClr val="648C2E"/>
                </a:solidFill>
                <a:prstDash val="sysDot"/>
              </a:ln>
            </c:spPr>
            <c:extLst>
              <c:ext xmlns:c16="http://schemas.microsoft.com/office/drawing/2014/chart" uri="{C3380CC4-5D6E-409C-BE32-E72D297353CC}">
                <c16:uniqueId val="{00000003-35D6-462E-83E3-A10DB6981516}"/>
              </c:ext>
            </c:extLst>
          </c:dPt>
          <c:cat>
            <c:numRef>
              <c:f>'NSWOS demersal over 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over 24m'!$D$23:$N$23</c:f>
              <c:numCache>
                <c:formatCode>#,##0.00</c:formatCode>
                <c:ptCount val="11"/>
                <c:pt idx="0">
                  <c:v>9.4520125315748693</c:v>
                </c:pt>
                <c:pt idx="1">
                  <c:v>11.3024842994586</c:v>
                </c:pt>
                <c:pt idx="2">
                  <c:v>11.2491074395884</c:v>
                </c:pt>
                <c:pt idx="3">
                  <c:v>10.4711646621152</c:v>
                </c:pt>
                <c:pt idx="4">
                  <c:v>12.516070519231301</c:v>
                </c:pt>
                <c:pt idx="5">
                  <c:v>13.6012514543687</c:v>
                </c:pt>
                <c:pt idx="6">
                  <c:v>13.325126039856</c:v>
                </c:pt>
                <c:pt idx="7">
                  <c:v>13.113215534533801</c:v>
                </c:pt>
                <c:pt idx="8">
                  <c:v>10.0468954264599</c:v>
                </c:pt>
                <c:pt idx="9">
                  <c:v>9.69347657399131</c:v>
                </c:pt>
                <c:pt idx="10">
                  <c:v>12.436330853795718</c:v>
                </c:pt>
              </c:numCache>
            </c:numRef>
          </c:val>
          <c:smooth val="0"/>
          <c:extLst>
            <c:ext xmlns:c16="http://schemas.microsoft.com/office/drawing/2014/chart" uri="{C3380CC4-5D6E-409C-BE32-E72D297353CC}">
              <c16:uniqueId val="{00000004-35D6-462E-83E3-A10DB698151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24m'!$B$63</c:f>
          <c:strCache>
            <c:ptCount val="1"/>
            <c:pt idx="0">
              <c:v>Total cost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F848-464F-B71B-114CB0CAD5E4}"/>
              </c:ext>
            </c:extLst>
          </c:dPt>
          <c:dPt>
            <c:idx val="10"/>
            <c:bubble3D val="0"/>
            <c:spPr>
              <a:ln w="57150">
                <a:solidFill>
                  <a:srgbClr val="087CBB"/>
                </a:solidFill>
                <a:prstDash val="sysDot"/>
              </a:ln>
            </c:spPr>
            <c:extLst>
              <c:ext xmlns:c16="http://schemas.microsoft.com/office/drawing/2014/chart" uri="{C3380CC4-5D6E-409C-BE32-E72D297353CC}">
                <c16:uniqueId val="{00000003-F848-464F-B71B-114CB0CAD5E4}"/>
              </c:ext>
            </c:extLst>
          </c:dPt>
          <c:cat>
            <c:numRef>
              <c:f>'NSWOS demersal over 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over 24m'!$D$24:$N$24</c:f>
              <c:numCache>
                <c:formatCode>#,##0.00</c:formatCode>
                <c:ptCount val="11"/>
                <c:pt idx="0">
                  <c:v>9.3983984465703791</c:v>
                </c:pt>
                <c:pt idx="1">
                  <c:v>10.719061368672399</c:v>
                </c:pt>
                <c:pt idx="2">
                  <c:v>10.373363860142</c:v>
                </c:pt>
                <c:pt idx="3">
                  <c:v>9.3670941865527197</c:v>
                </c:pt>
                <c:pt idx="4">
                  <c:v>10.708662049244399</c:v>
                </c:pt>
                <c:pt idx="5">
                  <c:v>11.8165610751286</c:v>
                </c:pt>
                <c:pt idx="6">
                  <c:v>11.3104531464841</c:v>
                </c:pt>
                <c:pt idx="7">
                  <c:v>11.5947589751761</c:v>
                </c:pt>
                <c:pt idx="8">
                  <c:v>9.1207531712725807</c:v>
                </c:pt>
                <c:pt idx="9">
                  <c:v>8.9524889100884106</c:v>
                </c:pt>
                <c:pt idx="10">
                  <c:v>12.013817699786458</c:v>
                </c:pt>
              </c:numCache>
            </c:numRef>
          </c:val>
          <c:smooth val="0"/>
          <c:extLst>
            <c:ext xmlns:c16="http://schemas.microsoft.com/office/drawing/2014/chart" uri="{C3380CC4-5D6E-409C-BE32-E72D297353CC}">
              <c16:uniqueId val="{00000004-F848-464F-B71B-114CB0CAD5E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o250kW'!$K$49</c:f>
          <c:strCache>
            <c:ptCount val="1"/>
            <c:pt idx="0">
              <c:v>Operating profit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E9AD-47A1-BBB3-98A538A8329D}"/>
              </c:ext>
            </c:extLst>
          </c:dPt>
          <c:dPt>
            <c:idx val="10"/>
            <c:bubble3D val="0"/>
            <c:spPr>
              <a:ln w="57150">
                <a:solidFill>
                  <a:schemeClr val="accent3"/>
                </a:solidFill>
                <a:prstDash val="sysDot"/>
              </a:ln>
            </c:spPr>
            <c:extLst>
              <c:ext xmlns:c16="http://schemas.microsoft.com/office/drawing/2014/chart" uri="{C3380CC4-5D6E-409C-BE32-E72D297353CC}">
                <c16:uniqueId val="{00000003-E9AD-47A1-BBB3-98A538A8329D}"/>
              </c:ext>
            </c:extLst>
          </c:dPt>
          <c:cat>
            <c:numRef>
              <c:f>'Area VIIa nephrops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o250kW'!$D$25:$N$25</c:f>
              <c:numCache>
                <c:formatCode>#,##0.00</c:formatCode>
                <c:ptCount val="11"/>
                <c:pt idx="0">
                  <c:v>1.74530119645844</c:v>
                </c:pt>
                <c:pt idx="1">
                  <c:v>1.04232663138044</c:v>
                </c:pt>
                <c:pt idx="2">
                  <c:v>0.93352087924362703</c:v>
                </c:pt>
                <c:pt idx="3">
                  <c:v>1.5604849562876899</c:v>
                </c:pt>
                <c:pt idx="4">
                  <c:v>1.8349509375444699</c:v>
                </c:pt>
                <c:pt idx="5">
                  <c:v>1.59354804616393</c:v>
                </c:pt>
                <c:pt idx="6">
                  <c:v>1.08481740632944</c:v>
                </c:pt>
                <c:pt idx="7">
                  <c:v>2.06308813777067</c:v>
                </c:pt>
                <c:pt idx="8">
                  <c:v>1.43452636796087</c:v>
                </c:pt>
                <c:pt idx="9">
                  <c:v>0.88341877658034895</c:v>
                </c:pt>
                <c:pt idx="10">
                  <c:v>0.51153514480680806</c:v>
                </c:pt>
              </c:numCache>
            </c:numRef>
          </c:val>
          <c:smooth val="0"/>
          <c:extLst>
            <c:ext xmlns:c16="http://schemas.microsoft.com/office/drawing/2014/chart" uri="{C3380CC4-5D6E-409C-BE32-E72D297353CC}">
              <c16:uniqueId val="{00000004-E9AD-47A1-BBB3-98A538A8329D}"/>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24m'!$K$49</c:f>
          <c:strCache>
            <c:ptCount val="1"/>
            <c:pt idx="0">
              <c:v>Operating profit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131-47BF-B060-5FC5610692F6}"/>
              </c:ext>
            </c:extLst>
          </c:dPt>
          <c:dPt>
            <c:idx val="10"/>
            <c:bubble3D val="0"/>
            <c:spPr>
              <a:ln w="57150">
                <a:solidFill>
                  <a:schemeClr val="accent3"/>
                </a:solidFill>
                <a:prstDash val="sysDot"/>
              </a:ln>
            </c:spPr>
            <c:extLst>
              <c:ext xmlns:c16="http://schemas.microsoft.com/office/drawing/2014/chart" uri="{C3380CC4-5D6E-409C-BE32-E72D297353CC}">
                <c16:uniqueId val="{00000003-4131-47BF-B060-5FC5610692F6}"/>
              </c:ext>
            </c:extLst>
          </c:dPt>
          <c:cat>
            <c:numRef>
              <c:f>'NSWOS demersal over 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over 24m'!$D$25:$N$25</c:f>
              <c:numCache>
                <c:formatCode>#,##0.00</c:formatCode>
                <c:ptCount val="11"/>
                <c:pt idx="0">
                  <c:v>0.55521547688777695</c:v>
                </c:pt>
                <c:pt idx="1">
                  <c:v>0.93927623136339999</c:v>
                </c:pt>
                <c:pt idx="2">
                  <c:v>1.49759890894741</c:v>
                </c:pt>
                <c:pt idx="3">
                  <c:v>1.46279534535777</c:v>
                </c:pt>
                <c:pt idx="4">
                  <c:v>2.1512557384633202</c:v>
                </c:pt>
                <c:pt idx="5">
                  <c:v>2.2643496579059499</c:v>
                </c:pt>
                <c:pt idx="6">
                  <c:v>2.2371606801408199</c:v>
                </c:pt>
                <c:pt idx="7">
                  <c:v>2.2600304635770501</c:v>
                </c:pt>
                <c:pt idx="8">
                  <c:v>1.34311933343034</c:v>
                </c:pt>
                <c:pt idx="9">
                  <c:v>0.99552137361904003</c:v>
                </c:pt>
                <c:pt idx="10">
                  <c:v>0.74906941529374971</c:v>
                </c:pt>
              </c:numCache>
            </c:numRef>
          </c:val>
          <c:smooth val="0"/>
          <c:extLst>
            <c:ext xmlns:c16="http://schemas.microsoft.com/office/drawing/2014/chart" uri="{C3380CC4-5D6E-409C-BE32-E72D297353CC}">
              <c16:uniqueId val="{00000004-4131-47BF-B060-5FC5610692F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24m'!$A$51</c:f>
          <c:strCache>
            <c:ptCount val="1"/>
            <c:pt idx="0">
              <c:v>Average price per tonne landed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CCFF-4781-9FD0-DF1A09D835D8}"/>
              </c:ext>
            </c:extLst>
          </c:dPt>
          <c:dPt>
            <c:idx val="10"/>
            <c:bubble3D val="0"/>
            <c:spPr>
              <a:ln w="57150">
                <a:solidFill>
                  <a:schemeClr val="accent4"/>
                </a:solidFill>
                <a:prstDash val="sysDot"/>
              </a:ln>
            </c:spPr>
            <c:extLst>
              <c:ext xmlns:c16="http://schemas.microsoft.com/office/drawing/2014/chart" uri="{C3380CC4-5D6E-409C-BE32-E72D297353CC}">
                <c16:uniqueId val="{00000003-CCFF-4781-9FD0-DF1A09D835D8}"/>
              </c:ext>
            </c:extLst>
          </c:dPt>
          <c:cat>
            <c:numRef>
              <c:f>'NSWOS demersal over 24m'!$D$2:$M$2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24m'!$D$21:$N$21</c:f>
              <c:numCache>
                <c:formatCode>#,##0</c:formatCode>
                <c:ptCount val="11"/>
                <c:pt idx="0">
                  <c:v>1920</c:v>
                </c:pt>
                <c:pt idx="1">
                  <c:v>1733</c:v>
                </c:pt>
                <c:pt idx="2">
                  <c:v>1904</c:v>
                </c:pt>
                <c:pt idx="3">
                  <c:v>1848</c:v>
                </c:pt>
                <c:pt idx="4">
                  <c:v>2022</c:v>
                </c:pt>
                <c:pt idx="5">
                  <c:v>2158</c:v>
                </c:pt>
                <c:pt idx="6">
                  <c:v>2240</c:v>
                </c:pt>
                <c:pt idx="7">
                  <c:v>2209</c:v>
                </c:pt>
                <c:pt idx="8">
                  <c:v>1897</c:v>
                </c:pt>
                <c:pt idx="9">
                  <c:v>1928</c:v>
                </c:pt>
                <c:pt idx="10">
                  <c:v>2254</c:v>
                </c:pt>
              </c:numCache>
            </c:numRef>
          </c:val>
          <c:smooth val="0"/>
          <c:extLst>
            <c:ext xmlns:c16="http://schemas.microsoft.com/office/drawing/2014/chart" uri="{C3380CC4-5D6E-409C-BE32-E72D297353CC}">
              <c16:uniqueId val="{00000004-CCFF-4781-9FD0-DF1A09D835D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24m'!$K$63</c:f>
          <c:strCache>
            <c:ptCount val="1"/>
            <c:pt idx="0">
              <c:v>Average annual operating profit per vessel (£'000)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40BC-4431-8BBE-9B58CE208FBD}"/>
              </c:ext>
            </c:extLst>
          </c:dPt>
          <c:dPt>
            <c:idx val="10"/>
            <c:bubble3D val="0"/>
            <c:spPr>
              <a:ln w="57150">
                <a:solidFill>
                  <a:schemeClr val="accent5"/>
                </a:solidFill>
                <a:prstDash val="sysDot"/>
              </a:ln>
            </c:spPr>
            <c:extLst>
              <c:ext xmlns:c16="http://schemas.microsoft.com/office/drawing/2014/chart" uri="{C3380CC4-5D6E-409C-BE32-E72D297353CC}">
                <c16:uniqueId val="{00000003-40BC-4431-8BBE-9B58CE208FBD}"/>
              </c:ext>
            </c:extLst>
          </c:dPt>
          <c:cat>
            <c:numRef>
              <c:f>'NSWOS demersal over 24m'!$D$2:$M$2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24m'!$D$38:$N$38</c:f>
              <c:numCache>
                <c:formatCode>#,##0.0</c:formatCode>
                <c:ptCount val="11"/>
                <c:pt idx="0">
                  <c:v>102</c:v>
                </c:pt>
                <c:pt idx="1">
                  <c:v>148.30000000000001</c:v>
                </c:pt>
                <c:pt idx="2">
                  <c:v>282.5</c:v>
                </c:pt>
                <c:pt idx="3">
                  <c:v>262.7</c:v>
                </c:pt>
                <c:pt idx="4">
                  <c:v>393.1</c:v>
                </c:pt>
                <c:pt idx="5">
                  <c:v>389.4</c:v>
                </c:pt>
                <c:pt idx="6">
                  <c:v>426.3</c:v>
                </c:pt>
                <c:pt idx="7">
                  <c:v>418.4</c:v>
                </c:pt>
                <c:pt idx="8">
                  <c:v>215.5</c:v>
                </c:pt>
                <c:pt idx="9">
                  <c:v>181.6</c:v>
                </c:pt>
                <c:pt idx="10">
                  <c:v>137</c:v>
                </c:pt>
              </c:numCache>
            </c:numRef>
          </c:val>
          <c:smooth val="0"/>
          <c:extLst>
            <c:ext xmlns:c16="http://schemas.microsoft.com/office/drawing/2014/chart" uri="{C3380CC4-5D6E-409C-BE32-E72D297353CC}">
              <c16:uniqueId val="{00000004-40BC-4431-8BBE-9B58CE208FBD}"/>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24m'!$A$77</c:f>
          <c:strCache>
            <c:ptCount val="1"/>
            <c:pt idx="0">
              <c:v>Top 5 landed species by volume in 2021
NSWOS demersal over 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A640-47AF-AFAF-16D06309FB20}"/>
              </c:ext>
            </c:extLst>
          </c:dPt>
          <c:dPt>
            <c:idx val="1"/>
            <c:bubble3D val="0"/>
            <c:spPr>
              <a:solidFill>
                <a:srgbClr val="E87308"/>
              </a:solidFill>
              <a:ln>
                <a:solidFill>
                  <a:srgbClr val="FFFFFF"/>
                </a:solidFill>
              </a:ln>
            </c:spPr>
            <c:extLst>
              <c:ext xmlns:c16="http://schemas.microsoft.com/office/drawing/2014/chart" uri="{C3380CC4-5D6E-409C-BE32-E72D297353CC}">
                <c16:uniqueId val="{00000003-A640-47AF-AFAF-16D06309FB20}"/>
              </c:ext>
            </c:extLst>
          </c:dPt>
          <c:dPt>
            <c:idx val="2"/>
            <c:bubble3D val="0"/>
            <c:spPr>
              <a:solidFill>
                <a:srgbClr val="C1D119"/>
              </a:solidFill>
              <a:ln>
                <a:solidFill>
                  <a:srgbClr val="FFFFFF"/>
                </a:solidFill>
              </a:ln>
            </c:spPr>
            <c:extLst>
              <c:ext xmlns:c16="http://schemas.microsoft.com/office/drawing/2014/chart" uri="{C3380CC4-5D6E-409C-BE32-E72D297353CC}">
                <c16:uniqueId val="{00000005-A640-47AF-AFAF-16D06309FB20}"/>
              </c:ext>
            </c:extLst>
          </c:dPt>
          <c:dPt>
            <c:idx val="3"/>
            <c:bubble3D val="0"/>
            <c:spPr>
              <a:solidFill>
                <a:srgbClr val="E84A38"/>
              </a:solidFill>
              <a:ln>
                <a:solidFill>
                  <a:srgbClr val="FFFFFF"/>
                </a:solidFill>
              </a:ln>
            </c:spPr>
            <c:extLst>
              <c:ext xmlns:c16="http://schemas.microsoft.com/office/drawing/2014/chart" uri="{C3380CC4-5D6E-409C-BE32-E72D297353CC}">
                <c16:uniqueId val="{00000007-A640-47AF-AFAF-16D06309FB20}"/>
              </c:ext>
            </c:extLst>
          </c:dPt>
          <c:dPt>
            <c:idx val="4"/>
            <c:bubble3D val="0"/>
            <c:spPr>
              <a:solidFill>
                <a:srgbClr val="0F9AA9"/>
              </a:solidFill>
              <a:ln>
                <a:solidFill>
                  <a:srgbClr val="FFFFFF"/>
                </a:solidFill>
              </a:ln>
            </c:spPr>
            <c:extLst>
              <c:ext xmlns:c16="http://schemas.microsoft.com/office/drawing/2014/chart" uri="{C3380CC4-5D6E-409C-BE32-E72D297353CC}">
                <c16:uniqueId val="{00000009-A640-47AF-AFAF-16D06309FB20}"/>
              </c:ext>
            </c:extLst>
          </c:dPt>
          <c:dPt>
            <c:idx val="5"/>
            <c:bubble3D val="0"/>
            <c:spPr>
              <a:solidFill>
                <a:srgbClr val="55585A"/>
              </a:solidFill>
              <a:ln>
                <a:solidFill>
                  <a:srgbClr val="FFFFFF"/>
                </a:solidFill>
              </a:ln>
            </c:spPr>
            <c:extLst>
              <c:ext xmlns:c16="http://schemas.microsoft.com/office/drawing/2014/chart" uri="{C3380CC4-5D6E-409C-BE32-E72D297353CC}">
                <c16:uniqueId val="{0000000B-A640-47AF-AFAF-16D06309FB20}"/>
              </c:ext>
            </c:extLst>
          </c:dPt>
          <c:cat>
            <c:strRef>
              <c:f>'NSWOS demersal over 24m'!$B$78:$B$83</c:f>
              <c:strCache>
                <c:ptCount val="6"/>
                <c:pt idx="0">
                  <c:v>Haddock - 26.2%</c:v>
                </c:pt>
                <c:pt idx="1">
                  <c:v>Anglerfish - 14.4%</c:v>
                </c:pt>
                <c:pt idx="2">
                  <c:v>Saithe - 14.2%</c:v>
                </c:pt>
                <c:pt idx="3">
                  <c:v>Ling - 8.2%</c:v>
                </c:pt>
                <c:pt idx="4">
                  <c:v>Whiting - 6.6%</c:v>
                </c:pt>
                <c:pt idx="5">
                  <c:v>Others - 30.4%</c:v>
                </c:pt>
              </c:strCache>
            </c:strRef>
          </c:cat>
          <c:val>
            <c:numRef>
              <c:f>'NSWOS demersal over 24m'!$C$78:$C$83</c:f>
              <c:numCache>
                <c:formatCode>0.0%</c:formatCode>
                <c:ptCount val="6"/>
                <c:pt idx="0">
                  <c:v>0.26172562310956415</c:v>
                </c:pt>
                <c:pt idx="1">
                  <c:v>0.14432752655296585</c:v>
                </c:pt>
                <c:pt idx="2">
                  <c:v>0.14182405431595607</c:v>
                </c:pt>
                <c:pt idx="3">
                  <c:v>8.1633737242625723E-2</c:v>
                </c:pt>
                <c:pt idx="4">
                  <c:v>6.6070631341032929E-2</c:v>
                </c:pt>
                <c:pt idx="5">
                  <c:v>0.3044184274378553</c:v>
                </c:pt>
              </c:numCache>
            </c:numRef>
          </c:val>
          <c:extLst>
            <c:ext xmlns:c16="http://schemas.microsoft.com/office/drawing/2014/chart" uri="{C3380CC4-5D6E-409C-BE32-E72D297353CC}">
              <c16:uniqueId val="{0000000C-A640-47AF-AFAF-16D06309FB2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24m'!$F$77</c:f>
          <c:strCache>
            <c:ptCount val="1"/>
            <c:pt idx="0">
              <c:v>Top 5 landed species by value in 2021
NSWOS demersal over 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D95-4E3C-BEF4-D2BB0F42CC13}"/>
              </c:ext>
            </c:extLst>
          </c:dPt>
          <c:dPt>
            <c:idx val="1"/>
            <c:bubble3D val="0"/>
            <c:spPr>
              <a:solidFill>
                <a:srgbClr val="E87308"/>
              </a:solidFill>
              <a:ln>
                <a:solidFill>
                  <a:srgbClr val="FFFFFF"/>
                </a:solidFill>
              </a:ln>
            </c:spPr>
            <c:extLst>
              <c:ext xmlns:c16="http://schemas.microsoft.com/office/drawing/2014/chart" uri="{C3380CC4-5D6E-409C-BE32-E72D297353CC}">
                <c16:uniqueId val="{00000003-8D95-4E3C-BEF4-D2BB0F42CC13}"/>
              </c:ext>
            </c:extLst>
          </c:dPt>
          <c:dPt>
            <c:idx val="2"/>
            <c:bubble3D val="0"/>
            <c:spPr>
              <a:solidFill>
                <a:srgbClr val="648C2E"/>
              </a:solidFill>
              <a:ln>
                <a:solidFill>
                  <a:srgbClr val="FFFFFF"/>
                </a:solidFill>
              </a:ln>
            </c:spPr>
            <c:extLst>
              <c:ext xmlns:c16="http://schemas.microsoft.com/office/drawing/2014/chart" uri="{C3380CC4-5D6E-409C-BE32-E72D297353CC}">
                <c16:uniqueId val="{00000005-8D95-4E3C-BEF4-D2BB0F42CC13}"/>
              </c:ext>
            </c:extLst>
          </c:dPt>
          <c:dPt>
            <c:idx val="3"/>
            <c:bubble3D val="0"/>
            <c:spPr>
              <a:solidFill>
                <a:srgbClr val="C1D119"/>
              </a:solidFill>
              <a:ln>
                <a:solidFill>
                  <a:srgbClr val="FFFFFF"/>
                </a:solidFill>
              </a:ln>
            </c:spPr>
            <c:extLst>
              <c:ext xmlns:c16="http://schemas.microsoft.com/office/drawing/2014/chart" uri="{C3380CC4-5D6E-409C-BE32-E72D297353CC}">
                <c16:uniqueId val="{00000007-8D95-4E3C-BEF4-D2BB0F42CC13}"/>
              </c:ext>
            </c:extLst>
          </c:dPt>
          <c:dPt>
            <c:idx val="4"/>
            <c:bubble3D val="0"/>
            <c:spPr>
              <a:solidFill>
                <a:srgbClr val="E84A38"/>
              </a:solidFill>
              <a:ln>
                <a:solidFill>
                  <a:srgbClr val="FFFFFF"/>
                </a:solidFill>
              </a:ln>
            </c:spPr>
            <c:extLst>
              <c:ext xmlns:c16="http://schemas.microsoft.com/office/drawing/2014/chart" uri="{C3380CC4-5D6E-409C-BE32-E72D297353CC}">
                <c16:uniqueId val="{00000009-8D95-4E3C-BEF4-D2BB0F42CC13}"/>
              </c:ext>
            </c:extLst>
          </c:dPt>
          <c:dPt>
            <c:idx val="5"/>
            <c:bubble3D val="0"/>
            <c:spPr>
              <a:solidFill>
                <a:srgbClr val="55585A"/>
              </a:solidFill>
              <a:ln>
                <a:solidFill>
                  <a:srgbClr val="FFFFFF"/>
                </a:solidFill>
              </a:ln>
            </c:spPr>
            <c:extLst>
              <c:ext xmlns:c16="http://schemas.microsoft.com/office/drawing/2014/chart" uri="{C3380CC4-5D6E-409C-BE32-E72D297353CC}">
                <c16:uniqueId val="{0000000B-8D95-4E3C-BEF4-D2BB0F42CC13}"/>
              </c:ext>
            </c:extLst>
          </c:dPt>
          <c:cat>
            <c:strRef>
              <c:f>'NSWOS demersal over 24m'!$G$78:$G$83</c:f>
              <c:strCache>
                <c:ptCount val="6"/>
                <c:pt idx="0">
                  <c:v>Haddock - 23.1%</c:v>
                </c:pt>
                <c:pt idx="1">
                  <c:v>Anglerfish - 22.9%</c:v>
                </c:pt>
                <c:pt idx="2">
                  <c:v>Cod - 12.3%</c:v>
                </c:pt>
                <c:pt idx="3">
                  <c:v>Saithe - 6.9%</c:v>
                </c:pt>
                <c:pt idx="4">
                  <c:v>Ling - 5.5%</c:v>
                </c:pt>
                <c:pt idx="5">
                  <c:v>Others - 29.3%</c:v>
                </c:pt>
              </c:strCache>
            </c:strRef>
          </c:cat>
          <c:val>
            <c:numRef>
              <c:f>'NSWOS demersal over 24m'!$H$78:$H$83</c:f>
              <c:numCache>
                <c:formatCode>0.0%</c:formatCode>
                <c:ptCount val="6"/>
                <c:pt idx="0">
                  <c:v>0.2312160610872305</c:v>
                </c:pt>
                <c:pt idx="1">
                  <c:v>0.22900116303169007</c:v>
                </c:pt>
                <c:pt idx="2">
                  <c:v>0.12284757082599722</c:v>
                </c:pt>
                <c:pt idx="3">
                  <c:v>6.8873514852719572E-2</c:v>
                </c:pt>
                <c:pt idx="4">
                  <c:v>5.5059034180350866E-2</c:v>
                </c:pt>
                <c:pt idx="5">
                  <c:v>0.29300265602201181</c:v>
                </c:pt>
              </c:numCache>
            </c:numRef>
          </c:val>
          <c:extLst>
            <c:ext xmlns:c16="http://schemas.microsoft.com/office/drawing/2014/chart" uri="{C3380CC4-5D6E-409C-BE32-E72D297353CC}">
              <c16:uniqueId val="{0000000C-8D95-4E3C-BEF4-D2BB0F42CC1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over 24m'!$C$93</c:f>
              <c:strCache>
                <c:ptCount val="1"/>
                <c:pt idx="0">
                  <c:v>Haddock</c:v>
                </c:pt>
              </c:strCache>
            </c:strRef>
          </c:tx>
          <c:spPr>
            <a:solidFill>
              <a:srgbClr val="2273B9"/>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24m'!$D$93:$M$93</c:f>
              <c:numCache>
                <c:formatCode>0%</c:formatCode>
                <c:ptCount val="10"/>
                <c:pt idx="0">
                  <c:v>0.24304332353727076</c:v>
                </c:pt>
                <c:pt idx="1">
                  <c:v>0.24994934063747604</c:v>
                </c:pt>
                <c:pt idx="2">
                  <c:v>0.23322583392535906</c:v>
                </c:pt>
                <c:pt idx="3">
                  <c:v>0.20901369281577459</c:v>
                </c:pt>
                <c:pt idx="4">
                  <c:v>0.22979385993118084</c:v>
                </c:pt>
                <c:pt idx="5">
                  <c:v>0.21072709084445845</c:v>
                </c:pt>
                <c:pt idx="6">
                  <c:v>0.23589849400298102</c:v>
                </c:pt>
                <c:pt idx="7">
                  <c:v>0.21753966443272901</c:v>
                </c:pt>
                <c:pt idx="8">
                  <c:v>0.2312160610872305</c:v>
                </c:pt>
                <c:pt idx="9">
                  <c:v>0.22461074554383539</c:v>
                </c:pt>
              </c:numCache>
            </c:numRef>
          </c:val>
          <c:extLst>
            <c:ext xmlns:c16="http://schemas.microsoft.com/office/drawing/2014/chart" uri="{C3380CC4-5D6E-409C-BE32-E72D297353CC}">
              <c16:uniqueId val="{00000000-9786-410A-9421-C39B509E27EF}"/>
            </c:ext>
          </c:extLst>
        </c:ser>
        <c:ser>
          <c:idx val="1"/>
          <c:order val="1"/>
          <c:tx>
            <c:strRef>
              <c:f>'NSWOS demersal over 24m'!$C$94</c:f>
              <c:strCache>
                <c:ptCount val="1"/>
                <c:pt idx="0">
                  <c:v>Anglerfish</c:v>
                </c:pt>
              </c:strCache>
            </c:strRef>
          </c:tx>
          <c:spPr>
            <a:solidFill>
              <a:srgbClr val="E87308"/>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24m'!$D$94:$M$94</c:f>
              <c:numCache>
                <c:formatCode>0%</c:formatCode>
                <c:ptCount val="10"/>
                <c:pt idx="0">
                  <c:v>0.10616418440418927</c:v>
                </c:pt>
                <c:pt idx="1">
                  <c:v>0.13414287616751405</c:v>
                </c:pt>
                <c:pt idx="2">
                  <c:v>0.14639623999862306</c:v>
                </c:pt>
                <c:pt idx="3">
                  <c:v>0.16594029562357507</c:v>
                </c:pt>
                <c:pt idx="4">
                  <c:v>0.16965115783757953</c:v>
                </c:pt>
                <c:pt idx="5">
                  <c:v>0.16472339753043957</c:v>
                </c:pt>
                <c:pt idx="6">
                  <c:v>0.14478823191880583</c:v>
                </c:pt>
                <c:pt idx="7">
                  <c:v>0.19547563323358924</c:v>
                </c:pt>
                <c:pt idx="8">
                  <c:v>0.22900116303169007</c:v>
                </c:pt>
                <c:pt idx="9">
                  <c:v>0.19255683405413818</c:v>
                </c:pt>
              </c:numCache>
            </c:numRef>
          </c:val>
          <c:extLst>
            <c:ext xmlns:c16="http://schemas.microsoft.com/office/drawing/2014/chart" uri="{C3380CC4-5D6E-409C-BE32-E72D297353CC}">
              <c16:uniqueId val="{00000001-9786-410A-9421-C39B509E27EF}"/>
            </c:ext>
          </c:extLst>
        </c:ser>
        <c:ser>
          <c:idx val="2"/>
          <c:order val="2"/>
          <c:tx>
            <c:strRef>
              <c:f>'NSWOS demersal over 24m'!$C$95</c:f>
              <c:strCache>
                <c:ptCount val="1"/>
                <c:pt idx="0">
                  <c:v>Cod</c:v>
                </c:pt>
              </c:strCache>
            </c:strRef>
          </c:tx>
          <c:spPr>
            <a:solidFill>
              <a:srgbClr val="648C2E"/>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24m'!$D$95:$M$95</c:f>
              <c:numCache>
                <c:formatCode>0%</c:formatCode>
                <c:ptCount val="10"/>
                <c:pt idx="0">
                  <c:v>0.162276433221268</c:v>
                </c:pt>
                <c:pt idx="1">
                  <c:v>0.15373297660369384</c:v>
                </c:pt>
                <c:pt idx="2">
                  <c:v>0.14857824799557004</c:v>
                </c:pt>
                <c:pt idx="3">
                  <c:v>0.14851176707047622</c:v>
                </c:pt>
                <c:pt idx="4">
                  <c:v>0.17792433581857695</c:v>
                </c:pt>
                <c:pt idx="5">
                  <c:v>0.20565650666950094</c:v>
                </c:pt>
                <c:pt idx="6">
                  <c:v>0.20662534551144604</c:v>
                </c:pt>
                <c:pt idx="7">
                  <c:v>0.17445109611572024</c:v>
                </c:pt>
                <c:pt idx="8">
                  <c:v>0.12284757082599722</c:v>
                </c:pt>
                <c:pt idx="9">
                  <c:v>0.1403865091698604</c:v>
                </c:pt>
              </c:numCache>
            </c:numRef>
          </c:val>
          <c:extLst>
            <c:ext xmlns:c16="http://schemas.microsoft.com/office/drawing/2014/chart" uri="{C3380CC4-5D6E-409C-BE32-E72D297353CC}">
              <c16:uniqueId val="{00000002-9786-410A-9421-C39B509E27EF}"/>
            </c:ext>
          </c:extLst>
        </c:ser>
        <c:ser>
          <c:idx val="3"/>
          <c:order val="3"/>
          <c:tx>
            <c:strRef>
              <c:f>'NSWOS demersal over 24m'!$C$96</c:f>
              <c:strCache>
                <c:ptCount val="1"/>
                <c:pt idx="0">
                  <c:v>Saithe</c:v>
                </c:pt>
              </c:strCache>
            </c:strRef>
          </c:tx>
          <c:spPr>
            <a:solidFill>
              <a:srgbClr val="C1D119"/>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24m'!$D$96:$M$96</c:f>
              <c:numCache>
                <c:formatCode>0%</c:formatCode>
                <c:ptCount val="10"/>
                <c:pt idx="0">
                  <c:v>0.12064683341801762</c:v>
                </c:pt>
                <c:pt idx="1">
                  <c:v>0.11502475555236419</c:v>
                </c:pt>
                <c:pt idx="2">
                  <c:v>0.10082049720664754</c:v>
                </c:pt>
                <c:pt idx="3">
                  <c:v>8.6386582251913438E-2</c:v>
                </c:pt>
                <c:pt idx="4">
                  <c:v>6.8929985922810341E-2</c:v>
                </c:pt>
                <c:pt idx="5">
                  <c:v>6.280002205320076E-2</c:v>
                </c:pt>
                <c:pt idx="6">
                  <c:v>7.8901375598363049E-2</c:v>
                </c:pt>
                <c:pt idx="7">
                  <c:v>7.5673847397446842E-2</c:v>
                </c:pt>
                <c:pt idx="8">
                  <c:v>6.8873514852719572E-2</c:v>
                </c:pt>
                <c:pt idx="9">
                  <c:v>7.9800511148955297E-2</c:v>
                </c:pt>
              </c:numCache>
            </c:numRef>
          </c:val>
          <c:extLst>
            <c:ext xmlns:c16="http://schemas.microsoft.com/office/drawing/2014/chart" uri="{C3380CC4-5D6E-409C-BE32-E72D297353CC}">
              <c16:uniqueId val="{00000003-9786-410A-9421-C39B509E27EF}"/>
            </c:ext>
          </c:extLst>
        </c:ser>
        <c:ser>
          <c:idx val="4"/>
          <c:order val="4"/>
          <c:tx>
            <c:strRef>
              <c:f>'NSWOS demersal over 24m'!$C$97</c:f>
              <c:strCache>
                <c:ptCount val="1"/>
                <c:pt idx="0">
                  <c:v>Ling</c:v>
                </c:pt>
              </c:strCache>
            </c:strRef>
          </c:tx>
          <c:spPr>
            <a:solidFill>
              <a:srgbClr val="E84A38"/>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24m'!$D$97:$M$97</c:f>
              <c:numCache>
                <c:formatCode>0%</c:formatCode>
                <c:ptCount val="10"/>
                <c:pt idx="8">
                  <c:v>5.5059034180350866E-2</c:v>
                </c:pt>
              </c:numCache>
            </c:numRef>
          </c:val>
          <c:extLst>
            <c:ext xmlns:c16="http://schemas.microsoft.com/office/drawing/2014/chart" uri="{C3380CC4-5D6E-409C-BE32-E72D297353CC}">
              <c16:uniqueId val="{00000004-9786-410A-9421-C39B509E27EF}"/>
            </c:ext>
          </c:extLst>
        </c:ser>
        <c:ser>
          <c:idx val="5"/>
          <c:order val="5"/>
          <c:tx>
            <c:strRef>
              <c:f>'NSWOS demersal over 24m'!$C$98</c:f>
              <c:strCache>
                <c:ptCount val="1"/>
                <c:pt idx="0">
                  <c:v>Squid</c:v>
                </c:pt>
              </c:strCache>
            </c:strRef>
          </c:tx>
          <c:spPr>
            <a:solidFill>
              <a:srgbClr val="0F9AA9"/>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24m'!$D$98:$M$98</c:f>
              <c:numCache>
                <c:formatCode>0%</c:formatCode>
                <c:ptCount val="10"/>
                <c:pt idx="6">
                  <c:v>5.1968442232285909E-2</c:v>
                </c:pt>
                <c:pt idx="9">
                  <c:v>7.518030678856237E-2</c:v>
                </c:pt>
              </c:numCache>
            </c:numRef>
          </c:val>
          <c:extLst>
            <c:ext xmlns:c16="http://schemas.microsoft.com/office/drawing/2014/chart" uri="{C3380CC4-5D6E-409C-BE32-E72D297353CC}">
              <c16:uniqueId val="{00000005-9786-410A-9421-C39B509E27EF}"/>
            </c:ext>
          </c:extLst>
        </c:ser>
        <c:ser>
          <c:idx val="6"/>
          <c:order val="6"/>
          <c:tx>
            <c:strRef>
              <c:f>'NSWOS demersal over 24m'!$C$99</c:f>
              <c:strCache>
                <c:ptCount val="1"/>
                <c:pt idx="0">
                  <c:v>Whiting</c:v>
                </c:pt>
              </c:strCache>
            </c:strRef>
          </c:tx>
          <c:spPr>
            <a:solidFill>
              <a:srgbClr val="FED825"/>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24m'!$D$99:$M$99</c:f>
              <c:numCache>
                <c:formatCode>0%</c:formatCode>
                <c:ptCount val="10"/>
                <c:pt idx="7">
                  <c:v>5.1520028057012238E-2</c:v>
                </c:pt>
              </c:numCache>
            </c:numRef>
          </c:val>
          <c:extLst>
            <c:ext xmlns:c16="http://schemas.microsoft.com/office/drawing/2014/chart" uri="{C3380CC4-5D6E-409C-BE32-E72D297353CC}">
              <c16:uniqueId val="{00000006-9786-410A-9421-C39B509E27EF}"/>
            </c:ext>
          </c:extLst>
        </c:ser>
        <c:ser>
          <c:idx val="7"/>
          <c:order val="7"/>
          <c:tx>
            <c:strRef>
              <c:f>'NSWOS demersal over 24m'!$C$100</c:f>
              <c:strCache>
                <c:ptCount val="1"/>
                <c:pt idx="0">
                  <c:v>Plaice</c:v>
                </c:pt>
              </c:strCache>
            </c:strRef>
          </c:tx>
          <c:spPr>
            <a:solidFill>
              <a:srgbClr val="707271"/>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24m'!$D$100:$M$100</c:f>
              <c:numCache>
                <c:formatCode>0%</c:formatCode>
                <c:ptCount val="10"/>
                <c:pt idx="0">
                  <c:v>8.6015902398037164E-2</c:v>
                </c:pt>
                <c:pt idx="1">
                  <c:v>7.4115019053803938E-2</c:v>
                </c:pt>
                <c:pt idx="2">
                  <c:v>9.779992705768259E-2</c:v>
                </c:pt>
                <c:pt idx="3">
                  <c:v>0.11636684104564478</c:v>
                </c:pt>
                <c:pt idx="4">
                  <c:v>8.8854146340027293E-2</c:v>
                </c:pt>
                <c:pt idx="5">
                  <c:v>8.5725627929065129E-2</c:v>
                </c:pt>
              </c:numCache>
            </c:numRef>
          </c:val>
          <c:extLst>
            <c:ext xmlns:c16="http://schemas.microsoft.com/office/drawing/2014/chart" uri="{C3380CC4-5D6E-409C-BE32-E72D297353CC}">
              <c16:uniqueId val="{00000007-9786-410A-9421-C39B509E27EF}"/>
            </c:ext>
          </c:extLst>
        </c:ser>
        <c:ser>
          <c:idx val="8"/>
          <c:order val="8"/>
          <c:tx>
            <c:strRef>
              <c:f>'NSWOS demersal over 24m'!$C$101</c:f>
              <c:strCache>
                <c:ptCount val="1"/>
                <c:pt idx="0">
                  <c:v>Others</c:v>
                </c:pt>
              </c:strCache>
            </c:strRef>
          </c:tx>
          <c:spPr>
            <a:solidFill>
              <a:srgbClr val="55585A"/>
            </a:solidFill>
            <a:ln>
              <a:solidFill>
                <a:srgbClr val="FFFFFF"/>
              </a:solidFill>
            </a:ln>
          </c:spPr>
          <c:invertIfNegative val="0"/>
          <c:cat>
            <c:numRef>
              <c:f>'NSWOS demersal over 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over 24m'!$D$101:$M$101</c:f>
              <c:numCache>
                <c:formatCode>0%</c:formatCode>
                <c:ptCount val="10"/>
                <c:pt idx="0">
                  <c:v>0.28185332302121718</c:v>
                </c:pt>
                <c:pt idx="1">
                  <c:v>0.27303503198514795</c:v>
                </c:pt>
                <c:pt idx="2">
                  <c:v>0.27317925381611768</c:v>
                </c:pt>
                <c:pt idx="3">
                  <c:v>0.27378082119261593</c:v>
                </c:pt>
                <c:pt idx="4">
                  <c:v>0.26484651414982507</c:v>
                </c:pt>
                <c:pt idx="5">
                  <c:v>0.27036735497333514</c:v>
                </c:pt>
                <c:pt idx="6">
                  <c:v>0.28181811073611812</c:v>
                </c:pt>
                <c:pt idx="7">
                  <c:v>0.28533973076350239</c:v>
                </c:pt>
                <c:pt idx="8">
                  <c:v>0.29300265602201175</c:v>
                </c:pt>
                <c:pt idx="9">
                  <c:v>0.28746509329464837</c:v>
                </c:pt>
              </c:numCache>
            </c:numRef>
          </c:val>
          <c:extLst>
            <c:ext xmlns:c16="http://schemas.microsoft.com/office/drawing/2014/chart" uri="{C3380CC4-5D6E-409C-BE32-E72D297353CC}">
              <c16:uniqueId val="{00000008-9786-410A-9421-C39B509E27E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over 24m'!$B$163</c:f>
              <c:strCache>
                <c:ptCount val="1"/>
                <c:pt idx="0">
                  <c:v>Haddock</c:v>
                </c:pt>
              </c:strCache>
            </c:strRef>
          </c:tx>
          <c:spPr>
            <a:solidFill>
              <a:srgbClr val="2273B9"/>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24m'!$C$163:$E$163</c:f>
              <c:numCache>
                <c:formatCode>0%</c:formatCode>
                <c:ptCount val="3"/>
                <c:pt idx="0">
                  <c:v>0.33769442849984055</c:v>
                </c:pt>
                <c:pt idx="1">
                  <c:v>0.28807187360833469</c:v>
                </c:pt>
                <c:pt idx="2">
                  <c:v>7.1123931557209683E-2</c:v>
                </c:pt>
              </c:numCache>
            </c:numRef>
          </c:val>
          <c:extLst>
            <c:ext xmlns:c16="http://schemas.microsoft.com/office/drawing/2014/chart" uri="{C3380CC4-5D6E-409C-BE32-E72D297353CC}">
              <c16:uniqueId val="{00000000-5130-4A4D-82DA-1D435537A147}"/>
            </c:ext>
          </c:extLst>
        </c:ser>
        <c:ser>
          <c:idx val="1"/>
          <c:order val="1"/>
          <c:tx>
            <c:strRef>
              <c:f>'NSWOS demersal over 24m'!$B$164</c:f>
              <c:strCache>
                <c:ptCount val="1"/>
                <c:pt idx="0">
                  <c:v>Anglerfish</c:v>
                </c:pt>
              </c:strCache>
            </c:strRef>
          </c:tx>
          <c:spPr>
            <a:solidFill>
              <a:srgbClr val="E87308"/>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24m'!$C$164:$E$164</c:f>
              <c:numCache>
                <c:formatCode>0%</c:formatCode>
                <c:ptCount val="3"/>
                <c:pt idx="0">
                  <c:v>0.15899844198441984</c:v>
                </c:pt>
                <c:pt idx="1">
                  <c:v>0.17493307840647737</c:v>
                </c:pt>
                <c:pt idx="2">
                  <c:v>5.6849031649384915E-2</c:v>
                </c:pt>
              </c:numCache>
            </c:numRef>
          </c:val>
          <c:extLst>
            <c:ext xmlns:c16="http://schemas.microsoft.com/office/drawing/2014/chart" uri="{C3380CC4-5D6E-409C-BE32-E72D297353CC}">
              <c16:uniqueId val="{00000001-5130-4A4D-82DA-1D435537A147}"/>
            </c:ext>
          </c:extLst>
        </c:ser>
        <c:ser>
          <c:idx val="2"/>
          <c:order val="2"/>
          <c:tx>
            <c:strRef>
              <c:f>'NSWOS demersal over 24m'!$B$165</c:f>
              <c:strCache>
                <c:ptCount val="1"/>
                <c:pt idx="0">
                  <c:v>Saithe</c:v>
                </c:pt>
              </c:strCache>
            </c:strRef>
          </c:tx>
          <c:spPr>
            <a:solidFill>
              <a:srgbClr val="C1D119"/>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24m'!$C$165:$E$165</c:f>
              <c:numCache>
                <c:formatCode>0%</c:formatCode>
                <c:ptCount val="3"/>
                <c:pt idx="0">
                  <c:v>9.702203088697553E-2</c:v>
                </c:pt>
                <c:pt idx="1">
                  <c:v>0.11226982264595657</c:v>
                </c:pt>
                <c:pt idx="2">
                  <c:v>0.42206773598584346</c:v>
                </c:pt>
              </c:numCache>
            </c:numRef>
          </c:val>
          <c:extLst>
            <c:ext xmlns:c16="http://schemas.microsoft.com/office/drawing/2014/chart" uri="{C3380CC4-5D6E-409C-BE32-E72D297353CC}">
              <c16:uniqueId val="{00000002-5130-4A4D-82DA-1D435537A147}"/>
            </c:ext>
          </c:extLst>
        </c:ser>
        <c:ser>
          <c:idx val="3"/>
          <c:order val="3"/>
          <c:tx>
            <c:strRef>
              <c:f>'NSWOS demersal over 24m'!$B$166</c:f>
              <c:strCache>
                <c:ptCount val="1"/>
                <c:pt idx="0">
                  <c:v>Blue Ling</c:v>
                </c:pt>
              </c:strCache>
            </c:strRef>
          </c:tx>
          <c:spPr>
            <a:solidFill>
              <a:srgbClr val="FED825"/>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24m'!$C$166:$E$166</c:f>
              <c:numCache>
                <c:formatCode>0%</c:formatCode>
                <c:ptCount val="3"/>
                <c:pt idx="0">
                  <c:v>0</c:v>
                </c:pt>
                <c:pt idx="1">
                  <c:v>9.2980835583461915E-2</c:v>
                </c:pt>
                <c:pt idx="2">
                  <c:v>0</c:v>
                </c:pt>
              </c:numCache>
            </c:numRef>
          </c:val>
          <c:extLst>
            <c:ext xmlns:c16="http://schemas.microsoft.com/office/drawing/2014/chart" uri="{C3380CC4-5D6E-409C-BE32-E72D297353CC}">
              <c16:uniqueId val="{00000003-5130-4A4D-82DA-1D435537A147}"/>
            </c:ext>
          </c:extLst>
        </c:ser>
        <c:ser>
          <c:idx val="4"/>
          <c:order val="4"/>
          <c:tx>
            <c:strRef>
              <c:f>'NSWOS demersal over 24m'!$B$167</c:f>
              <c:strCache>
                <c:ptCount val="1"/>
                <c:pt idx="0">
                  <c:v>Ling</c:v>
                </c:pt>
              </c:strCache>
            </c:strRef>
          </c:tx>
          <c:spPr>
            <a:solidFill>
              <a:srgbClr val="E84A38"/>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24m'!$C$167:$E$167</c:f>
              <c:numCache>
                <c:formatCode>0%</c:formatCode>
                <c:ptCount val="3"/>
                <c:pt idx="0">
                  <c:v>0.10413841738417384</c:v>
                </c:pt>
                <c:pt idx="1">
                  <c:v>8.7666517183454071E-2</c:v>
                </c:pt>
                <c:pt idx="2">
                  <c:v>0</c:v>
                </c:pt>
              </c:numCache>
            </c:numRef>
          </c:val>
          <c:extLst>
            <c:ext xmlns:c16="http://schemas.microsoft.com/office/drawing/2014/chart" uri="{C3380CC4-5D6E-409C-BE32-E72D297353CC}">
              <c16:uniqueId val="{00000004-5130-4A4D-82DA-1D435537A147}"/>
            </c:ext>
          </c:extLst>
        </c:ser>
        <c:ser>
          <c:idx val="5"/>
          <c:order val="5"/>
          <c:tx>
            <c:strRef>
              <c:f>'NSWOS demersal over 24m'!$B$168</c:f>
              <c:strCache>
                <c:ptCount val="1"/>
                <c:pt idx="0">
                  <c:v>Plaice</c:v>
                </c:pt>
              </c:strCache>
            </c:strRef>
          </c:tx>
          <c:spPr>
            <a:solidFill>
              <a:srgbClr val="707271"/>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24m'!$C$168:$E$168</c:f>
              <c:numCache>
                <c:formatCode>0%</c:formatCode>
                <c:ptCount val="3"/>
                <c:pt idx="0">
                  <c:v>0</c:v>
                </c:pt>
                <c:pt idx="1">
                  <c:v>0</c:v>
                </c:pt>
                <c:pt idx="2">
                  <c:v>0.16766218771796124</c:v>
                </c:pt>
              </c:numCache>
            </c:numRef>
          </c:val>
          <c:extLst>
            <c:ext xmlns:c16="http://schemas.microsoft.com/office/drawing/2014/chart" uri="{C3380CC4-5D6E-409C-BE32-E72D297353CC}">
              <c16:uniqueId val="{00000005-5130-4A4D-82DA-1D435537A147}"/>
            </c:ext>
          </c:extLst>
        </c:ser>
        <c:ser>
          <c:idx val="6"/>
          <c:order val="6"/>
          <c:tx>
            <c:strRef>
              <c:f>'NSWOS demersal over 24m'!$B$169</c:f>
              <c:strCache>
                <c:ptCount val="1"/>
                <c:pt idx="0">
                  <c:v>Whiting</c:v>
                </c:pt>
              </c:strCache>
            </c:strRef>
          </c:tx>
          <c:spPr>
            <a:solidFill>
              <a:srgbClr val="0F9AA9"/>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24m'!$C$169:$E$169</c:f>
              <c:numCache>
                <c:formatCode>0%</c:formatCode>
                <c:ptCount val="3"/>
                <c:pt idx="0">
                  <c:v>0</c:v>
                </c:pt>
                <c:pt idx="1">
                  <c:v>0</c:v>
                </c:pt>
                <c:pt idx="2">
                  <c:v>4.9458881050344058E-2</c:v>
                </c:pt>
              </c:numCache>
            </c:numRef>
          </c:val>
          <c:extLst>
            <c:ext xmlns:c16="http://schemas.microsoft.com/office/drawing/2014/chart" uri="{C3380CC4-5D6E-409C-BE32-E72D297353CC}">
              <c16:uniqueId val="{00000006-5130-4A4D-82DA-1D435537A147}"/>
            </c:ext>
          </c:extLst>
        </c:ser>
        <c:ser>
          <c:idx val="7"/>
          <c:order val="7"/>
          <c:tx>
            <c:strRef>
              <c:f>'NSWOS demersal over 24m'!$B$170</c:f>
              <c:strCache>
                <c:ptCount val="1"/>
                <c:pt idx="0">
                  <c:v>Cod</c:v>
                </c:pt>
              </c:strCache>
            </c:strRef>
          </c:tx>
          <c:spPr>
            <a:solidFill>
              <a:srgbClr val="648C2E"/>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24m'!$C$170:$E$170</c:f>
              <c:numCache>
                <c:formatCode>0%</c:formatCode>
                <c:ptCount val="3"/>
                <c:pt idx="0">
                  <c:v>7.1799230103412146E-2</c:v>
                </c:pt>
                <c:pt idx="1">
                  <c:v>0</c:v>
                </c:pt>
                <c:pt idx="2">
                  <c:v>0</c:v>
                </c:pt>
              </c:numCache>
            </c:numRef>
          </c:val>
          <c:extLst>
            <c:ext xmlns:c16="http://schemas.microsoft.com/office/drawing/2014/chart" uri="{C3380CC4-5D6E-409C-BE32-E72D297353CC}">
              <c16:uniqueId val="{00000007-5130-4A4D-82DA-1D435537A147}"/>
            </c:ext>
          </c:extLst>
        </c:ser>
        <c:ser>
          <c:idx val="8"/>
          <c:order val="8"/>
          <c:tx>
            <c:strRef>
              <c:f>'NSWOS demersal over 24m'!$B$171</c:f>
              <c:strCache>
                <c:ptCount val="1"/>
                <c:pt idx="0">
                  <c:v>Others</c:v>
                </c:pt>
              </c:strCache>
            </c:strRef>
          </c:tx>
          <c:spPr>
            <a:solidFill>
              <a:srgbClr val="55585A"/>
            </a:solidFill>
            <a:ln>
              <a:solidFill>
                <a:srgbClr val="FFFFFF"/>
              </a:solidFill>
            </a:ln>
          </c:spPr>
          <c:invertIfNegative val="0"/>
          <c:cat>
            <c:strRef>
              <c:f>'NSWOS demersal over 24m'!$C$162:$E$162</c:f>
              <c:strCache>
                <c:ptCount val="3"/>
                <c:pt idx="0">
                  <c:v>Most
profitable
quartile</c:v>
                </c:pt>
                <c:pt idx="1">
                  <c:v>Middle 
two quartiles</c:v>
                </c:pt>
                <c:pt idx="2">
                  <c:v>Least
profitable
quartile</c:v>
                </c:pt>
              </c:strCache>
            </c:strRef>
          </c:cat>
          <c:val>
            <c:numRef>
              <c:f>'NSWOS demersal over 24m'!$C$171:$E$171</c:f>
              <c:numCache>
                <c:formatCode>0%</c:formatCode>
                <c:ptCount val="3"/>
                <c:pt idx="0">
                  <c:v>0.23034745114117816</c:v>
                </c:pt>
                <c:pt idx="1">
                  <c:v>0.24407787257231539</c:v>
                </c:pt>
                <c:pt idx="2">
                  <c:v>0.23283823203925669</c:v>
                </c:pt>
              </c:numCache>
            </c:numRef>
          </c:val>
          <c:extLst>
            <c:ext xmlns:c16="http://schemas.microsoft.com/office/drawing/2014/chart" uri="{C3380CC4-5D6E-409C-BE32-E72D297353CC}">
              <c16:uniqueId val="{00000008-5130-4A4D-82DA-1D435537A14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over 24m'!$H$163</c:f>
              <c:strCache>
                <c:ptCount val="1"/>
                <c:pt idx="0">
                  <c:v>Anglerfish</c:v>
                </c:pt>
              </c:strCache>
            </c:strRef>
          </c:tx>
          <c:spPr>
            <a:solidFill>
              <a:srgbClr val="E87308"/>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24m'!$I$163:$K$163</c:f>
              <c:numCache>
                <c:formatCode>0%</c:formatCode>
                <c:ptCount val="3"/>
                <c:pt idx="0">
                  <c:v>0.23207076160213416</c:v>
                </c:pt>
                <c:pt idx="1">
                  <c:v>0.26937352430180739</c:v>
                </c:pt>
                <c:pt idx="2">
                  <c:v>0.13921803145674586</c:v>
                </c:pt>
              </c:numCache>
            </c:numRef>
          </c:val>
          <c:extLst>
            <c:ext xmlns:c16="http://schemas.microsoft.com/office/drawing/2014/chart" uri="{C3380CC4-5D6E-409C-BE32-E72D297353CC}">
              <c16:uniqueId val="{00000000-3B2C-4D02-A88C-6D9759C9C758}"/>
            </c:ext>
          </c:extLst>
        </c:ser>
        <c:ser>
          <c:idx val="1"/>
          <c:order val="1"/>
          <c:tx>
            <c:strRef>
              <c:f>'NSWOS demersal over 24m'!$H$164</c:f>
              <c:strCache>
                <c:ptCount val="1"/>
                <c:pt idx="0">
                  <c:v>Haddock</c:v>
                </c:pt>
              </c:strCache>
            </c:strRef>
          </c:tx>
          <c:spPr>
            <a:solidFill>
              <a:srgbClr val="2273B9"/>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24m'!$I$164:$K$164</c:f>
              <c:numCache>
                <c:formatCode>0%</c:formatCode>
                <c:ptCount val="3"/>
                <c:pt idx="0">
                  <c:v>0.28275943350356991</c:v>
                </c:pt>
                <c:pt idx="1">
                  <c:v>0.24180432382011266</c:v>
                </c:pt>
                <c:pt idx="2">
                  <c:v>0</c:v>
                </c:pt>
              </c:numCache>
            </c:numRef>
          </c:val>
          <c:extLst>
            <c:ext xmlns:c16="http://schemas.microsoft.com/office/drawing/2014/chart" uri="{C3380CC4-5D6E-409C-BE32-E72D297353CC}">
              <c16:uniqueId val="{00000001-3B2C-4D02-A88C-6D9759C9C758}"/>
            </c:ext>
          </c:extLst>
        </c:ser>
        <c:ser>
          <c:idx val="2"/>
          <c:order val="2"/>
          <c:tx>
            <c:strRef>
              <c:f>'NSWOS demersal over 24m'!$H$165</c:f>
              <c:strCache>
                <c:ptCount val="1"/>
                <c:pt idx="0">
                  <c:v>Cod</c:v>
                </c:pt>
              </c:strCache>
            </c:strRef>
          </c:tx>
          <c:spPr>
            <a:solidFill>
              <a:srgbClr val="648C2E"/>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24m'!$I$165:$K$165</c:f>
              <c:numCache>
                <c:formatCode>0%</c:formatCode>
                <c:ptCount val="3"/>
                <c:pt idx="0">
                  <c:v>0.12703020258374056</c:v>
                </c:pt>
                <c:pt idx="1">
                  <c:v>0.14226173422680008</c:v>
                </c:pt>
                <c:pt idx="2">
                  <c:v>7.4770917083408994E-2</c:v>
                </c:pt>
              </c:numCache>
            </c:numRef>
          </c:val>
          <c:extLst>
            <c:ext xmlns:c16="http://schemas.microsoft.com/office/drawing/2014/chart" uri="{C3380CC4-5D6E-409C-BE32-E72D297353CC}">
              <c16:uniqueId val="{00000002-3B2C-4D02-A88C-6D9759C9C758}"/>
            </c:ext>
          </c:extLst>
        </c:ser>
        <c:ser>
          <c:idx val="3"/>
          <c:order val="3"/>
          <c:tx>
            <c:strRef>
              <c:f>'NSWOS demersal over 24m'!$H$166</c:f>
              <c:strCache>
                <c:ptCount val="1"/>
                <c:pt idx="0">
                  <c:v>Saithe</c:v>
                </c:pt>
              </c:strCache>
            </c:strRef>
          </c:tx>
          <c:spPr>
            <a:solidFill>
              <a:srgbClr val="C1D119"/>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24m'!$I$166:$K$166</c:f>
              <c:numCache>
                <c:formatCode>0%</c:formatCode>
                <c:ptCount val="3"/>
                <c:pt idx="0">
                  <c:v>0</c:v>
                </c:pt>
                <c:pt idx="1">
                  <c:v>5.9605374802912989E-2</c:v>
                </c:pt>
                <c:pt idx="2">
                  <c:v>0.25297863595367559</c:v>
                </c:pt>
              </c:numCache>
            </c:numRef>
          </c:val>
          <c:extLst>
            <c:ext xmlns:c16="http://schemas.microsoft.com/office/drawing/2014/chart" uri="{C3380CC4-5D6E-409C-BE32-E72D297353CC}">
              <c16:uniqueId val="{00000003-3B2C-4D02-A88C-6D9759C9C758}"/>
            </c:ext>
          </c:extLst>
        </c:ser>
        <c:ser>
          <c:idx val="4"/>
          <c:order val="4"/>
          <c:tx>
            <c:strRef>
              <c:f>'NSWOS demersal over 24m'!$H$167</c:f>
              <c:strCache>
                <c:ptCount val="1"/>
                <c:pt idx="0">
                  <c:v>Ling</c:v>
                </c:pt>
              </c:strCache>
            </c:strRef>
          </c:tx>
          <c:spPr>
            <a:solidFill>
              <a:srgbClr val="E84A38"/>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24m'!$I$167:$K$167</c:f>
              <c:numCache>
                <c:formatCode>0%</c:formatCode>
                <c:ptCount val="3"/>
                <c:pt idx="0">
                  <c:v>6.420355879182775E-2</c:v>
                </c:pt>
                <c:pt idx="1">
                  <c:v>5.8012194434572673E-2</c:v>
                </c:pt>
                <c:pt idx="2">
                  <c:v>0</c:v>
                </c:pt>
              </c:numCache>
            </c:numRef>
          </c:val>
          <c:extLst>
            <c:ext xmlns:c16="http://schemas.microsoft.com/office/drawing/2014/chart" uri="{C3380CC4-5D6E-409C-BE32-E72D297353CC}">
              <c16:uniqueId val="{00000004-3B2C-4D02-A88C-6D9759C9C758}"/>
            </c:ext>
          </c:extLst>
        </c:ser>
        <c:ser>
          <c:idx val="5"/>
          <c:order val="5"/>
          <c:tx>
            <c:strRef>
              <c:f>'NSWOS demersal over 24m'!$H$168</c:f>
              <c:strCache>
                <c:ptCount val="1"/>
                <c:pt idx="0">
                  <c:v>Plaice</c:v>
                </c:pt>
              </c:strCache>
            </c:strRef>
          </c:tx>
          <c:spPr>
            <a:solidFill>
              <a:srgbClr val="707271"/>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24m'!$I$168:$K$168</c:f>
              <c:numCache>
                <c:formatCode>0%</c:formatCode>
                <c:ptCount val="3"/>
                <c:pt idx="0">
                  <c:v>0</c:v>
                </c:pt>
                <c:pt idx="1">
                  <c:v>0</c:v>
                </c:pt>
                <c:pt idx="2">
                  <c:v>0.12297808301901261</c:v>
                </c:pt>
              </c:numCache>
            </c:numRef>
          </c:val>
          <c:extLst>
            <c:ext xmlns:c16="http://schemas.microsoft.com/office/drawing/2014/chart" uri="{C3380CC4-5D6E-409C-BE32-E72D297353CC}">
              <c16:uniqueId val="{00000005-3B2C-4D02-A88C-6D9759C9C758}"/>
            </c:ext>
          </c:extLst>
        </c:ser>
        <c:ser>
          <c:idx val="6"/>
          <c:order val="6"/>
          <c:tx>
            <c:strRef>
              <c:f>'NSWOS demersal over 24m'!$H$169</c:f>
              <c:strCache>
                <c:ptCount val="1"/>
                <c:pt idx="0">
                  <c:v>Nephrops</c:v>
                </c:pt>
              </c:strCache>
            </c:strRef>
          </c:tx>
          <c:spPr>
            <a:solidFill>
              <a:srgbClr val="51AA81"/>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24m'!$I$169:$K$169</c:f>
              <c:numCache>
                <c:formatCode>0%</c:formatCode>
                <c:ptCount val="3"/>
                <c:pt idx="0">
                  <c:v>0</c:v>
                </c:pt>
                <c:pt idx="1">
                  <c:v>0</c:v>
                </c:pt>
                <c:pt idx="2">
                  <c:v>8.2734130331404004E-2</c:v>
                </c:pt>
              </c:numCache>
            </c:numRef>
          </c:val>
          <c:extLst>
            <c:ext xmlns:c16="http://schemas.microsoft.com/office/drawing/2014/chart" uri="{C3380CC4-5D6E-409C-BE32-E72D297353CC}">
              <c16:uniqueId val="{00000006-3B2C-4D02-A88C-6D9759C9C758}"/>
            </c:ext>
          </c:extLst>
        </c:ser>
        <c:ser>
          <c:idx val="7"/>
          <c:order val="7"/>
          <c:tx>
            <c:strRef>
              <c:f>'NSWOS demersal over 24m'!$H$170</c:f>
              <c:strCache>
                <c:ptCount val="1"/>
                <c:pt idx="0">
                  <c:v>Megrim</c:v>
                </c:pt>
              </c:strCache>
            </c:strRef>
          </c:tx>
          <c:spPr>
            <a:solidFill>
              <a:srgbClr val="169FDB"/>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24m'!$I$170:$K$170</c:f>
              <c:numCache>
                <c:formatCode>0%</c:formatCode>
                <c:ptCount val="3"/>
                <c:pt idx="0">
                  <c:v>5.1652415517026207E-2</c:v>
                </c:pt>
                <c:pt idx="1">
                  <c:v>0</c:v>
                </c:pt>
                <c:pt idx="2">
                  <c:v>0</c:v>
                </c:pt>
              </c:numCache>
            </c:numRef>
          </c:val>
          <c:extLst>
            <c:ext xmlns:c16="http://schemas.microsoft.com/office/drawing/2014/chart" uri="{C3380CC4-5D6E-409C-BE32-E72D297353CC}">
              <c16:uniqueId val="{00000007-3B2C-4D02-A88C-6D9759C9C758}"/>
            </c:ext>
          </c:extLst>
        </c:ser>
        <c:ser>
          <c:idx val="8"/>
          <c:order val="8"/>
          <c:tx>
            <c:strRef>
              <c:f>'NSWOS demersal over 24m'!$H$171</c:f>
              <c:strCache>
                <c:ptCount val="1"/>
                <c:pt idx="0">
                  <c:v>Others</c:v>
                </c:pt>
              </c:strCache>
            </c:strRef>
          </c:tx>
          <c:spPr>
            <a:solidFill>
              <a:srgbClr val="55585A"/>
            </a:solidFill>
            <a:ln>
              <a:solidFill>
                <a:srgbClr val="FFFFFF"/>
              </a:solidFill>
            </a:ln>
          </c:spPr>
          <c:invertIfNegative val="0"/>
          <c:cat>
            <c:strRef>
              <c:f>'NSWOS demersal over 24m'!$I$162:$K$162</c:f>
              <c:strCache>
                <c:ptCount val="3"/>
                <c:pt idx="0">
                  <c:v>Most
profitable
quartile</c:v>
                </c:pt>
                <c:pt idx="1">
                  <c:v>Middle 
two quartiles</c:v>
                </c:pt>
                <c:pt idx="2">
                  <c:v>Least
profitable
quartile</c:v>
                </c:pt>
              </c:strCache>
            </c:strRef>
          </c:cat>
          <c:val>
            <c:numRef>
              <c:f>'NSWOS demersal over 24m'!$I$171:$K$171</c:f>
              <c:numCache>
                <c:formatCode>0%</c:formatCode>
                <c:ptCount val="3"/>
                <c:pt idx="0">
                  <c:v>0.24228362800170156</c:v>
                </c:pt>
                <c:pt idx="1">
                  <c:v>0.22894284841379431</c:v>
                </c:pt>
                <c:pt idx="2">
                  <c:v>0.32732020215575297</c:v>
                </c:pt>
              </c:numCache>
            </c:numRef>
          </c:val>
          <c:extLst>
            <c:ext xmlns:c16="http://schemas.microsoft.com/office/drawing/2014/chart" uri="{C3380CC4-5D6E-409C-BE32-E72D297353CC}">
              <c16:uniqueId val="{00000008-3B2C-4D02-A88C-6D9759C9C75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over 24m'!$K$140</c:f>
              <c:strCache>
                <c:ptCount val="1"/>
                <c:pt idx="0">
                  <c:v>Total income</c:v>
                </c:pt>
              </c:strCache>
            </c:strRef>
          </c:tx>
          <c:spPr>
            <a:solidFill>
              <a:srgbClr val="087CBB"/>
            </a:solidFill>
            <a:ln>
              <a:solidFill>
                <a:schemeClr val="accent1"/>
              </a:solidFill>
            </a:ln>
          </c:spPr>
          <c:invertIfNegative val="0"/>
          <c:cat>
            <c:strRef>
              <c:f>'NSWOS demersal over 24m'!$L$139:$N$139</c:f>
              <c:strCache>
                <c:ptCount val="3"/>
                <c:pt idx="0">
                  <c:v>Most
profitable
quartile</c:v>
                </c:pt>
                <c:pt idx="1">
                  <c:v>Middle
two quartiles</c:v>
                </c:pt>
                <c:pt idx="2">
                  <c:v>Least
profitable
quartile</c:v>
                </c:pt>
              </c:strCache>
            </c:strRef>
          </c:cat>
          <c:val>
            <c:numRef>
              <c:f>'NSWOS demersal over 24m'!$L$140:$N$140</c:f>
              <c:numCache>
                <c:formatCode>#,##0</c:formatCode>
                <c:ptCount val="3"/>
                <c:pt idx="0">
                  <c:v>3005.5794999999998</c:v>
                </c:pt>
                <c:pt idx="1">
                  <c:v>1821.9625297619</c:v>
                </c:pt>
                <c:pt idx="2">
                  <c:v>607.57837500000005</c:v>
                </c:pt>
              </c:numCache>
            </c:numRef>
          </c:val>
          <c:extLst>
            <c:ext xmlns:c16="http://schemas.microsoft.com/office/drawing/2014/chart" uri="{C3380CC4-5D6E-409C-BE32-E72D297353CC}">
              <c16:uniqueId val="{00000000-FD9D-45BD-AC17-E8E0B1E3D60A}"/>
            </c:ext>
          </c:extLst>
        </c:ser>
        <c:ser>
          <c:idx val="1"/>
          <c:order val="1"/>
          <c:tx>
            <c:strRef>
              <c:f>'NSWOS demersal over 24m'!$K$141</c:f>
              <c:strCache>
                <c:ptCount val="1"/>
                <c:pt idx="0">
                  <c:v>Operating costs</c:v>
                </c:pt>
              </c:strCache>
            </c:strRef>
          </c:tx>
          <c:spPr>
            <a:solidFill>
              <a:srgbClr val="E87308"/>
            </a:solidFill>
          </c:spPr>
          <c:invertIfNegative val="0"/>
          <c:cat>
            <c:strRef>
              <c:f>'NSWOS demersal over 24m'!$L$139:$N$139</c:f>
              <c:strCache>
                <c:ptCount val="3"/>
                <c:pt idx="0">
                  <c:v>Most
profitable
quartile</c:v>
                </c:pt>
                <c:pt idx="1">
                  <c:v>Middle
two quartiles</c:v>
                </c:pt>
                <c:pt idx="2">
                  <c:v>Least
profitable
quartile</c:v>
                </c:pt>
              </c:strCache>
            </c:strRef>
          </c:cat>
          <c:val>
            <c:numRef>
              <c:f>'NSWOS demersal over 24m'!$L$141:$N$141</c:f>
              <c:numCache>
                <c:formatCode>#,##0</c:formatCode>
                <c:ptCount val="3"/>
                <c:pt idx="0">
                  <c:v>2521.1015000000002</c:v>
                </c:pt>
                <c:pt idx="1">
                  <c:v>1620.76158928571</c:v>
                </c:pt>
                <c:pt idx="2">
                  <c:v>770.11181250000004</c:v>
                </c:pt>
              </c:numCache>
            </c:numRef>
          </c:val>
          <c:extLst>
            <c:ext xmlns:c16="http://schemas.microsoft.com/office/drawing/2014/chart" uri="{C3380CC4-5D6E-409C-BE32-E72D297353CC}">
              <c16:uniqueId val="{00000001-FD9D-45BD-AC17-E8E0B1E3D60A}"/>
            </c:ext>
          </c:extLst>
        </c:ser>
        <c:ser>
          <c:idx val="2"/>
          <c:order val="2"/>
          <c:tx>
            <c:strRef>
              <c:f>'NSWOS demersal over 24m'!$K$142</c:f>
              <c:strCache>
                <c:ptCount val="1"/>
                <c:pt idx="0">
                  <c:v>Operating profit</c:v>
                </c:pt>
              </c:strCache>
            </c:strRef>
          </c:tx>
          <c:spPr>
            <a:solidFill>
              <a:srgbClr val="51AA81"/>
            </a:solidFill>
          </c:spPr>
          <c:invertIfNegative val="0"/>
          <c:cat>
            <c:strRef>
              <c:f>'NSWOS demersal over 24m'!$L$139:$N$139</c:f>
              <c:strCache>
                <c:ptCount val="3"/>
                <c:pt idx="0">
                  <c:v>Most
profitable
quartile</c:v>
                </c:pt>
                <c:pt idx="1">
                  <c:v>Middle
two quartiles</c:v>
                </c:pt>
                <c:pt idx="2">
                  <c:v>Least
profitable
quartile</c:v>
                </c:pt>
              </c:strCache>
            </c:strRef>
          </c:cat>
          <c:val>
            <c:numRef>
              <c:f>'NSWOS demersal over 24m'!$L$142:$N$142</c:f>
              <c:numCache>
                <c:formatCode>#,##0</c:formatCode>
                <c:ptCount val="3"/>
                <c:pt idx="0">
                  <c:v>484.47800000000001</c:v>
                </c:pt>
                <c:pt idx="1">
                  <c:v>201.20094047619099</c:v>
                </c:pt>
                <c:pt idx="2">
                  <c:v>-162.53343749999999</c:v>
                </c:pt>
              </c:numCache>
            </c:numRef>
          </c:val>
          <c:extLst>
            <c:ext xmlns:c16="http://schemas.microsoft.com/office/drawing/2014/chart" uri="{C3380CC4-5D6E-409C-BE32-E72D297353CC}">
              <c16:uniqueId val="{00000002-FD9D-45BD-AC17-E8E0B1E3D60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over 24m'!$K$143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seine'!$A$49</c:f>
          <c:strCache>
            <c:ptCount val="1"/>
            <c:pt idx="0">
              <c:v>Landings per kW day at sea (kg)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8037-4788-A5AC-ACD95EF89F97}"/>
              </c:ext>
            </c:extLst>
          </c:dPt>
          <c:dPt>
            <c:idx val="10"/>
            <c:bubble3D val="0"/>
            <c:spPr>
              <a:ln w="57150">
                <a:solidFill>
                  <a:srgbClr val="2273B9"/>
                </a:solidFill>
                <a:prstDash val="sysDot"/>
              </a:ln>
            </c:spPr>
            <c:extLst>
              <c:ext xmlns:c16="http://schemas.microsoft.com/office/drawing/2014/chart" uri="{C3380CC4-5D6E-409C-BE32-E72D297353CC}">
                <c16:uniqueId val="{00000003-8037-4788-A5AC-ACD95EF89F97}"/>
              </c:ext>
            </c:extLst>
          </c:dPt>
          <c:cat>
            <c:numRef>
              <c:f>'NSWOS dem pair trawl 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 pair trawl seine'!$D$22:$N$22</c:f>
              <c:numCache>
                <c:formatCode>#,##0.00</c:formatCode>
                <c:ptCount val="11"/>
                <c:pt idx="0">
                  <c:v>8.4675204750370394</c:v>
                </c:pt>
                <c:pt idx="1">
                  <c:v>9.6634899870868356</c:v>
                </c:pt>
                <c:pt idx="2">
                  <c:v>9.9904098579477321</c:v>
                </c:pt>
                <c:pt idx="3">
                  <c:v>8.924383222780703</c:v>
                </c:pt>
                <c:pt idx="4">
                  <c:v>9.9660243818735381</c:v>
                </c:pt>
                <c:pt idx="5">
                  <c:v>10.454790022011579</c:v>
                </c:pt>
                <c:pt idx="6">
                  <c:v>9.6376501014087115</c:v>
                </c:pt>
                <c:pt idx="7">
                  <c:v>9.2494094172373664</c:v>
                </c:pt>
                <c:pt idx="8">
                  <c:v>9.1981926545015504</c:v>
                </c:pt>
                <c:pt idx="9">
                  <c:v>8.3597903337356758</c:v>
                </c:pt>
                <c:pt idx="10">
                  <c:v>9.2889663380365608</c:v>
                </c:pt>
              </c:numCache>
            </c:numRef>
          </c:val>
          <c:smooth val="0"/>
          <c:extLst>
            <c:ext xmlns:c16="http://schemas.microsoft.com/office/drawing/2014/chart" uri="{C3380CC4-5D6E-409C-BE32-E72D297353CC}">
              <c16:uniqueId val="{00000004-8037-4788-A5AC-ACD95EF89F97}"/>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o250kW'!$A$51</c:f>
          <c:strCache>
            <c:ptCount val="1"/>
            <c:pt idx="0">
              <c:v>Average price per tonne landed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891-4235-9CA5-F9C50830C8F2}"/>
              </c:ext>
            </c:extLst>
          </c:dPt>
          <c:dPt>
            <c:idx val="10"/>
            <c:bubble3D val="0"/>
            <c:spPr>
              <a:ln w="57150">
                <a:solidFill>
                  <a:schemeClr val="accent4"/>
                </a:solidFill>
                <a:prstDash val="sysDot"/>
              </a:ln>
            </c:spPr>
            <c:extLst>
              <c:ext xmlns:c16="http://schemas.microsoft.com/office/drawing/2014/chart" uri="{C3380CC4-5D6E-409C-BE32-E72D297353CC}">
                <c16:uniqueId val="{00000003-D891-4235-9CA5-F9C50830C8F2}"/>
              </c:ext>
            </c:extLst>
          </c:dPt>
          <c:cat>
            <c:numRef>
              <c:f>'Area VIIa nephrops o250kW'!$D$2:$M$2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o250kW'!$D$21:$N$21</c:f>
              <c:numCache>
                <c:formatCode>#,##0</c:formatCode>
                <c:ptCount val="11"/>
                <c:pt idx="0">
                  <c:v>2710</c:v>
                </c:pt>
                <c:pt idx="1">
                  <c:v>2281</c:v>
                </c:pt>
                <c:pt idx="2">
                  <c:v>2535</c:v>
                </c:pt>
                <c:pt idx="3">
                  <c:v>2291</c:v>
                </c:pt>
                <c:pt idx="4">
                  <c:v>2506</c:v>
                </c:pt>
                <c:pt idx="5">
                  <c:v>2579</c:v>
                </c:pt>
                <c:pt idx="6">
                  <c:v>2408</c:v>
                </c:pt>
                <c:pt idx="7">
                  <c:v>2599</c:v>
                </c:pt>
                <c:pt idx="8">
                  <c:v>1825</c:v>
                </c:pt>
                <c:pt idx="9">
                  <c:v>1917</c:v>
                </c:pt>
                <c:pt idx="10">
                  <c:v>2518</c:v>
                </c:pt>
              </c:numCache>
            </c:numRef>
          </c:val>
          <c:smooth val="0"/>
          <c:extLst>
            <c:ext xmlns:c16="http://schemas.microsoft.com/office/drawing/2014/chart" uri="{C3380CC4-5D6E-409C-BE32-E72D297353CC}">
              <c16:uniqueId val="{00000004-D891-4235-9CA5-F9C50830C8F2}"/>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seine'!$A$50</c:f>
          <c:strCache>
            <c:ptCount val="1"/>
            <c:pt idx="0">
              <c:v>Fishing income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3DC2-4E79-8544-001AA8FA1296}"/>
              </c:ext>
            </c:extLst>
          </c:dPt>
          <c:dPt>
            <c:idx val="10"/>
            <c:bubble3D val="0"/>
            <c:spPr>
              <a:ln w="57150">
                <a:solidFill>
                  <a:srgbClr val="648C2E"/>
                </a:solidFill>
                <a:prstDash val="sysDot"/>
              </a:ln>
            </c:spPr>
            <c:extLst>
              <c:ext xmlns:c16="http://schemas.microsoft.com/office/drawing/2014/chart" uri="{C3380CC4-5D6E-409C-BE32-E72D297353CC}">
                <c16:uniqueId val="{00000003-3DC2-4E79-8544-001AA8FA1296}"/>
              </c:ext>
            </c:extLst>
          </c:dPt>
          <c:cat>
            <c:numRef>
              <c:f>'NSWOS dem pair trawl 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 pair trawl seine'!$D$23:$N$23</c:f>
              <c:numCache>
                <c:formatCode>#,##0.00</c:formatCode>
                <c:ptCount val="11"/>
                <c:pt idx="0">
                  <c:v>14.282447349870401</c:v>
                </c:pt>
                <c:pt idx="1">
                  <c:v>15.739857081543301</c:v>
                </c:pt>
                <c:pt idx="2">
                  <c:v>17.939568025085499</c:v>
                </c:pt>
                <c:pt idx="3">
                  <c:v>15.5614161985719</c:v>
                </c:pt>
                <c:pt idx="4">
                  <c:v>18.7322447799394</c:v>
                </c:pt>
                <c:pt idx="5">
                  <c:v>21.748287555631698</c:v>
                </c:pt>
                <c:pt idx="6">
                  <c:v>18.805624969402299</c:v>
                </c:pt>
                <c:pt idx="7">
                  <c:v>18.841353658148599</c:v>
                </c:pt>
                <c:pt idx="8">
                  <c:v>15.7560744539133</c:v>
                </c:pt>
                <c:pt idx="9">
                  <c:v>15.176239837282299</c:v>
                </c:pt>
                <c:pt idx="10">
                  <c:v>15.829707658160164</c:v>
                </c:pt>
              </c:numCache>
            </c:numRef>
          </c:val>
          <c:smooth val="0"/>
          <c:extLst>
            <c:ext xmlns:c16="http://schemas.microsoft.com/office/drawing/2014/chart" uri="{C3380CC4-5D6E-409C-BE32-E72D297353CC}">
              <c16:uniqueId val="{00000004-3DC2-4E79-8544-001AA8FA129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seine'!$B$63</c:f>
          <c:strCache>
            <c:ptCount val="1"/>
            <c:pt idx="0">
              <c:v>Total cost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C401-4E93-ABB5-68EC10BADC60}"/>
              </c:ext>
            </c:extLst>
          </c:dPt>
          <c:dPt>
            <c:idx val="10"/>
            <c:bubble3D val="0"/>
            <c:spPr>
              <a:ln w="57150">
                <a:solidFill>
                  <a:srgbClr val="087CBB"/>
                </a:solidFill>
                <a:prstDash val="sysDot"/>
              </a:ln>
            </c:spPr>
            <c:extLst>
              <c:ext xmlns:c16="http://schemas.microsoft.com/office/drawing/2014/chart" uri="{C3380CC4-5D6E-409C-BE32-E72D297353CC}">
                <c16:uniqueId val="{00000003-C401-4E93-ABB5-68EC10BADC60}"/>
              </c:ext>
            </c:extLst>
          </c:dPt>
          <c:cat>
            <c:numRef>
              <c:f>'NSWOS dem pair trawl 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 pair trawl seine'!$D$24:$N$24</c:f>
              <c:numCache>
                <c:formatCode>#,##0.00</c:formatCode>
                <c:ptCount val="11"/>
                <c:pt idx="0">
                  <c:v>13.493147554047701</c:v>
                </c:pt>
                <c:pt idx="1">
                  <c:v>15.182414964830899</c:v>
                </c:pt>
                <c:pt idx="2">
                  <c:v>16.068777407502999</c:v>
                </c:pt>
                <c:pt idx="3">
                  <c:v>14.6071788677278</c:v>
                </c:pt>
                <c:pt idx="4">
                  <c:v>15.5814954273028</c:v>
                </c:pt>
                <c:pt idx="5">
                  <c:v>18.767105711214299</c:v>
                </c:pt>
                <c:pt idx="6">
                  <c:v>16.228049632123899</c:v>
                </c:pt>
                <c:pt idx="7">
                  <c:v>16.524469918686499</c:v>
                </c:pt>
                <c:pt idx="8">
                  <c:v>13.5658472918262</c:v>
                </c:pt>
                <c:pt idx="9">
                  <c:v>13.668329625549701</c:v>
                </c:pt>
                <c:pt idx="10">
                  <c:v>14.803726305386748</c:v>
                </c:pt>
              </c:numCache>
            </c:numRef>
          </c:val>
          <c:smooth val="0"/>
          <c:extLst>
            <c:ext xmlns:c16="http://schemas.microsoft.com/office/drawing/2014/chart" uri="{C3380CC4-5D6E-409C-BE32-E72D297353CC}">
              <c16:uniqueId val="{00000004-C401-4E93-ABB5-68EC10BADC60}"/>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seine'!$K$49</c:f>
          <c:strCache>
            <c:ptCount val="1"/>
            <c:pt idx="0">
              <c:v>Operating profit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EC7-4B71-A6F6-B9A617F4DB64}"/>
              </c:ext>
            </c:extLst>
          </c:dPt>
          <c:dPt>
            <c:idx val="10"/>
            <c:bubble3D val="0"/>
            <c:spPr>
              <a:ln w="57150">
                <a:solidFill>
                  <a:schemeClr val="accent3"/>
                </a:solidFill>
                <a:prstDash val="sysDot"/>
              </a:ln>
            </c:spPr>
            <c:extLst>
              <c:ext xmlns:c16="http://schemas.microsoft.com/office/drawing/2014/chart" uri="{C3380CC4-5D6E-409C-BE32-E72D297353CC}">
                <c16:uniqueId val="{00000003-6EC7-4B71-A6F6-B9A617F4DB64}"/>
              </c:ext>
            </c:extLst>
          </c:dPt>
          <c:cat>
            <c:numRef>
              <c:f>'NSWOS dem pair trawl 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 pair trawl seine'!$D$25:$N$25</c:f>
              <c:numCache>
                <c:formatCode>#,##0.00</c:formatCode>
                <c:ptCount val="11"/>
                <c:pt idx="0">
                  <c:v>1.52054992163363</c:v>
                </c:pt>
                <c:pt idx="1">
                  <c:v>3.5208248389003201</c:v>
                </c:pt>
                <c:pt idx="2">
                  <c:v>4.2706400950285097</c:v>
                </c:pt>
                <c:pt idx="3">
                  <c:v>1.42367083926631</c:v>
                </c:pt>
                <c:pt idx="4">
                  <c:v>3.57109144965023</c:v>
                </c:pt>
                <c:pt idx="5">
                  <c:v>3.84325530982019</c:v>
                </c:pt>
                <c:pt idx="6">
                  <c:v>2.6295568412171901</c:v>
                </c:pt>
                <c:pt idx="7">
                  <c:v>2.37417391729928</c:v>
                </c:pt>
                <c:pt idx="8">
                  <c:v>2.5452379969986199</c:v>
                </c:pt>
                <c:pt idx="9">
                  <c:v>1.9831911076467099</c:v>
                </c:pt>
                <c:pt idx="10">
                  <c:v>1.5217271909835948</c:v>
                </c:pt>
              </c:numCache>
            </c:numRef>
          </c:val>
          <c:smooth val="0"/>
          <c:extLst>
            <c:ext xmlns:c16="http://schemas.microsoft.com/office/drawing/2014/chart" uri="{C3380CC4-5D6E-409C-BE32-E72D297353CC}">
              <c16:uniqueId val="{00000004-6EC7-4B71-A6F6-B9A617F4DB64}"/>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seine'!$A$51</c:f>
          <c:strCache>
            <c:ptCount val="1"/>
            <c:pt idx="0">
              <c:v>Average price per tonne landed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05D-43AD-AB42-0B6D665BDD9D}"/>
              </c:ext>
            </c:extLst>
          </c:dPt>
          <c:dPt>
            <c:idx val="10"/>
            <c:bubble3D val="0"/>
            <c:spPr>
              <a:ln w="57150">
                <a:solidFill>
                  <a:schemeClr val="accent4"/>
                </a:solidFill>
                <a:prstDash val="sysDot"/>
              </a:ln>
            </c:spPr>
            <c:extLst>
              <c:ext xmlns:c16="http://schemas.microsoft.com/office/drawing/2014/chart" uri="{C3380CC4-5D6E-409C-BE32-E72D297353CC}">
                <c16:uniqueId val="{00000003-D05D-43AD-AB42-0B6D665BDD9D}"/>
              </c:ext>
            </c:extLst>
          </c:dPt>
          <c:cat>
            <c:numRef>
              <c:f>'NSWOS dem pair trawl seine'!$D$2:$M$2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seine'!$D$21:$N$21</c:f>
              <c:numCache>
                <c:formatCode>#,##0</c:formatCode>
                <c:ptCount val="11"/>
                <c:pt idx="0">
                  <c:v>1687</c:v>
                </c:pt>
                <c:pt idx="1">
                  <c:v>1629</c:v>
                </c:pt>
                <c:pt idx="2">
                  <c:v>1796</c:v>
                </c:pt>
                <c:pt idx="3">
                  <c:v>1744</c:v>
                </c:pt>
                <c:pt idx="4">
                  <c:v>1880</c:v>
                </c:pt>
                <c:pt idx="5">
                  <c:v>2080</c:v>
                </c:pt>
                <c:pt idx="6">
                  <c:v>1951</c:v>
                </c:pt>
                <c:pt idx="7">
                  <c:v>2037</c:v>
                </c:pt>
                <c:pt idx="8">
                  <c:v>1713</c:v>
                </c:pt>
                <c:pt idx="9">
                  <c:v>1815</c:v>
                </c:pt>
                <c:pt idx="10">
                  <c:v>1704</c:v>
                </c:pt>
              </c:numCache>
            </c:numRef>
          </c:val>
          <c:smooth val="0"/>
          <c:extLst>
            <c:ext xmlns:c16="http://schemas.microsoft.com/office/drawing/2014/chart" uri="{C3380CC4-5D6E-409C-BE32-E72D297353CC}">
              <c16:uniqueId val="{00000004-D05D-43AD-AB42-0B6D665BDD9D}"/>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seine'!$K$63</c:f>
          <c:strCache>
            <c:ptCount val="1"/>
            <c:pt idx="0">
              <c:v>Average annual operating profit per vessel (£'000)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C6C-410F-9E54-66F77FF068AB}"/>
              </c:ext>
            </c:extLst>
          </c:dPt>
          <c:dPt>
            <c:idx val="10"/>
            <c:bubble3D val="0"/>
            <c:spPr>
              <a:ln w="57150">
                <a:solidFill>
                  <a:schemeClr val="accent5"/>
                </a:solidFill>
                <a:prstDash val="sysDot"/>
              </a:ln>
            </c:spPr>
            <c:extLst>
              <c:ext xmlns:c16="http://schemas.microsoft.com/office/drawing/2014/chart" uri="{C3380CC4-5D6E-409C-BE32-E72D297353CC}">
                <c16:uniqueId val="{00000003-2C6C-410F-9E54-66F77FF068AB}"/>
              </c:ext>
            </c:extLst>
          </c:dPt>
          <c:cat>
            <c:numRef>
              <c:f>'NSWOS dem pair trawl seine'!$D$2:$M$2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seine'!$D$38:$N$38</c:f>
              <c:numCache>
                <c:formatCode>#,##0.0</c:formatCode>
                <c:ptCount val="11"/>
                <c:pt idx="0">
                  <c:v>123.3</c:v>
                </c:pt>
                <c:pt idx="1">
                  <c:v>310.10000000000002</c:v>
                </c:pt>
                <c:pt idx="2">
                  <c:v>344.2</c:v>
                </c:pt>
                <c:pt idx="3">
                  <c:v>148.30000000000001</c:v>
                </c:pt>
                <c:pt idx="4">
                  <c:v>389.8</c:v>
                </c:pt>
                <c:pt idx="5">
                  <c:v>404.7</c:v>
                </c:pt>
                <c:pt idx="6">
                  <c:v>309.7</c:v>
                </c:pt>
                <c:pt idx="7">
                  <c:v>290.3</c:v>
                </c:pt>
                <c:pt idx="8">
                  <c:v>272.8</c:v>
                </c:pt>
                <c:pt idx="9">
                  <c:v>176.3</c:v>
                </c:pt>
                <c:pt idx="10">
                  <c:v>174.20000000000002</c:v>
                </c:pt>
              </c:numCache>
            </c:numRef>
          </c:val>
          <c:smooth val="0"/>
          <c:extLst>
            <c:ext xmlns:c16="http://schemas.microsoft.com/office/drawing/2014/chart" uri="{C3380CC4-5D6E-409C-BE32-E72D297353CC}">
              <c16:uniqueId val="{00000004-2C6C-410F-9E54-66F77FF068A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seine'!$A$77</c:f>
          <c:strCache>
            <c:ptCount val="1"/>
            <c:pt idx="0">
              <c:v>Top 5 landed species by volume in 2021
NSWOS demersal pair trawl 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F8A-4FA3-8C08-4CC5A3678DDE}"/>
              </c:ext>
            </c:extLst>
          </c:dPt>
          <c:dPt>
            <c:idx val="1"/>
            <c:bubble3D val="0"/>
            <c:spPr>
              <a:solidFill>
                <a:srgbClr val="648C2E"/>
              </a:solidFill>
              <a:ln>
                <a:solidFill>
                  <a:srgbClr val="FFFFFF"/>
                </a:solidFill>
              </a:ln>
            </c:spPr>
            <c:extLst>
              <c:ext xmlns:c16="http://schemas.microsoft.com/office/drawing/2014/chart" uri="{C3380CC4-5D6E-409C-BE32-E72D297353CC}">
                <c16:uniqueId val="{00000003-DF8A-4FA3-8C08-4CC5A3678DDE}"/>
              </c:ext>
            </c:extLst>
          </c:dPt>
          <c:dPt>
            <c:idx val="2"/>
            <c:bubble3D val="0"/>
            <c:spPr>
              <a:solidFill>
                <a:srgbClr val="C1D119"/>
              </a:solidFill>
              <a:ln>
                <a:solidFill>
                  <a:srgbClr val="FFFFFF"/>
                </a:solidFill>
              </a:ln>
            </c:spPr>
            <c:extLst>
              <c:ext xmlns:c16="http://schemas.microsoft.com/office/drawing/2014/chart" uri="{C3380CC4-5D6E-409C-BE32-E72D297353CC}">
                <c16:uniqueId val="{00000005-DF8A-4FA3-8C08-4CC5A3678DDE}"/>
              </c:ext>
            </c:extLst>
          </c:dPt>
          <c:dPt>
            <c:idx val="3"/>
            <c:bubble3D val="0"/>
            <c:spPr>
              <a:solidFill>
                <a:srgbClr val="E87308"/>
              </a:solidFill>
              <a:ln>
                <a:solidFill>
                  <a:srgbClr val="FFFFFF"/>
                </a:solidFill>
              </a:ln>
            </c:spPr>
            <c:extLst>
              <c:ext xmlns:c16="http://schemas.microsoft.com/office/drawing/2014/chart" uri="{C3380CC4-5D6E-409C-BE32-E72D297353CC}">
                <c16:uniqueId val="{00000007-DF8A-4FA3-8C08-4CC5A3678DDE}"/>
              </c:ext>
            </c:extLst>
          </c:dPt>
          <c:dPt>
            <c:idx val="4"/>
            <c:bubble3D val="0"/>
            <c:spPr>
              <a:solidFill>
                <a:srgbClr val="E84A38"/>
              </a:solidFill>
              <a:ln>
                <a:solidFill>
                  <a:srgbClr val="FFFFFF"/>
                </a:solidFill>
              </a:ln>
            </c:spPr>
            <c:extLst>
              <c:ext xmlns:c16="http://schemas.microsoft.com/office/drawing/2014/chart" uri="{C3380CC4-5D6E-409C-BE32-E72D297353CC}">
                <c16:uniqueId val="{00000009-DF8A-4FA3-8C08-4CC5A3678DDE}"/>
              </c:ext>
            </c:extLst>
          </c:dPt>
          <c:dPt>
            <c:idx val="5"/>
            <c:bubble3D val="0"/>
            <c:spPr>
              <a:solidFill>
                <a:srgbClr val="55585A"/>
              </a:solidFill>
              <a:ln>
                <a:solidFill>
                  <a:srgbClr val="FFFFFF"/>
                </a:solidFill>
              </a:ln>
            </c:spPr>
            <c:extLst>
              <c:ext xmlns:c16="http://schemas.microsoft.com/office/drawing/2014/chart" uri="{C3380CC4-5D6E-409C-BE32-E72D297353CC}">
                <c16:uniqueId val="{0000000B-DF8A-4FA3-8C08-4CC5A3678DDE}"/>
              </c:ext>
            </c:extLst>
          </c:dPt>
          <c:cat>
            <c:strRef>
              <c:f>'NSWOS dem pair trawl seine'!$B$78:$B$83</c:f>
              <c:strCache>
                <c:ptCount val="6"/>
                <c:pt idx="0">
                  <c:v>Haddock - 39.8%</c:v>
                </c:pt>
                <c:pt idx="1">
                  <c:v>Whiting - 20.0%</c:v>
                </c:pt>
                <c:pt idx="2">
                  <c:v>Saithe - 15.8%</c:v>
                </c:pt>
                <c:pt idx="3">
                  <c:v>Cod - 12.5%</c:v>
                </c:pt>
                <c:pt idx="4">
                  <c:v>Hake - 5.1%</c:v>
                </c:pt>
                <c:pt idx="5">
                  <c:v>Others - 6.8%</c:v>
                </c:pt>
              </c:strCache>
            </c:strRef>
          </c:cat>
          <c:val>
            <c:numRef>
              <c:f>'NSWOS dem pair trawl seine'!$C$78:$C$83</c:f>
              <c:numCache>
                <c:formatCode>0.0%</c:formatCode>
                <c:ptCount val="6"/>
                <c:pt idx="0">
                  <c:v>0.39788641744001013</c:v>
                </c:pt>
                <c:pt idx="1">
                  <c:v>0.20038640809024535</c:v>
                </c:pt>
                <c:pt idx="2">
                  <c:v>0.15798733475806903</c:v>
                </c:pt>
                <c:pt idx="3">
                  <c:v>0.12478578930764941</c:v>
                </c:pt>
                <c:pt idx="4">
                  <c:v>5.1075241271944023E-2</c:v>
                </c:pt>
                <c:pt idx="5">
                  <c:v>6.7878809132081996E-2</c:v>
                </c:pt>
              </c:numCache>
            </c:numRef>
          </c:val>
          <c:extLst>
            <c:ext xmlns:c16="http://schemas.microsoft.com/office/drawing/2014/chart" uri="{C3380CC4-5D6E-409C-BE32-E72D297353CC}">
              <c16:uniqueId val="{0000000C-DF8A-4FA3-8C08-4CC5A3678DD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seine'!$F$77</c:f>
          <c:strCache>
            <c:ptCount val="1"/>
            <c:pt idx="0">
              <c:v>Top 5 landed species by value in 2021
NSWOS demersal pair trawl 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5F5-42FE-B878-FF44EBA185A6}"/>
              </c:ext>
            </c:extLst>
          </c:dPt>
          <c:dPt>
            <c:idx val="1"/>
            <c:bubble3D val="0"/>
            <c:spPr>
              <a:solidFill>
                <a:srgbClr val="E87308"/>
              </a:solidFill>
              <a:ln>
                <a:solidFill>
                  <a:srgbClr val="FFFFFF"/>
                </a:solidFill>
              </a:ln>
            </c:spPr>
            <c:extLst>
              <c:ext xmlns:c16="http://schemas.microsoft.com/office/drawing/2014/chart" uri="{C3380CC4-5D6E-409C-BE32-E72D297353CC}">
                <c16:uniqueId val="{00000003-35F5-42FE-B878-FF44EBA185A6}"/>
              </c:ext>
            </c:extLst>
          </c:dPt>
          <c:dPt>
            <c:idx val="2"/>
            <c:bubble3D val="0"/>
            <c:spPr>
              <a:solidFill>
                <a:srgbClr val="648C2E"/>
              </a:solidFill>
              <a:ln>
                <a:solidFill>
                  <a:srgbClr val="FFFFFF"/>
                </a:solidFill>
              </a:ln>
            </c:spPr>
            <c:extLst>
              <c:ext xmlns:c16="http://schemas.microsoft.com/office/drawing/2014/chart" uri="{C3380CC4-5D6E-409C-BE32-E72D297353CC}">
                <c16:uniqueId val="{00000005-35F5-42FE-B878-FF44EBA185A6}"/>
              </c:ext>
            </c:extLst>
          </c:dPt>
          <c:dPt>
            <c:idx val="3"/>
            <c:bubble3D val="0"/>
            <c:spPr>
              <a:solidFill>
                <a:srgbClr val="C1D119"/>
              </a:solidFill>
              <a:ln>
                <a:solidFill>
                  <a:srgbClr val="FFFFFF"/>
                </a:solidFill>
              </a:ln>
            </c:spPr>
            <c:extLst>
              <c:ext xmlns:c16="http://schemas.microsoft.com/office/drawing/2014/chart" uri="{C3380CC4-5D6E-409C-BE32-E72D297353CC}">
                <c16:uniqueId val="{00000007-35F5-42FE-B878-FF44EBA185A6}"/>
              </c:ext>
            </c:extLst>
          </c:dPt>
          <c:dPt>
            <c:idx val="4"/>
            <c:bubble3D val="0"/>
            <c:spPr>
              <a:solidFill>
                <a:srgbClr val="E84A38"/>
              </a:solidFill>
              <a:ln>
                <a:solidFill>
                  <a:srgbClr val="FFFFFF"/>
                </a:solidFill>
              </a:ln>
            </c:spPr>
            <c:extLst>
              <c:ext xmlns:c16="http://schemas.microsoft.com/office/drawing/2014/chart" uri="{C3380CC4-5D6E-409C-BE32-E72D297353CC}">
                <c16:uniqueId val="{00000009-35F5-42FE-B878-FF44EBA185A6}"/>
              </c:ext>
            </c:extLst>
          </c:dPt>
          <c:dPt>
            <c:idx val="5"/>
            <c:bubble3D val="0"/>
            <c:spPr>
              <a:solidFill>
                <a:srgbClr val="55585A"/>
              </a:solidFill>
              <a:ln>
                <a:solidFill>
                  <a:srgbClr val="FFFFFF"/>
                </a:solidFill>
              </a:ln>
            </c:spPr>
            <c:extLst>
              <c:ext xmlns:c16="http://schemas.microsoft.com/office/drawing/2014/chart" uri="{C3380CC4-5D6E-409C-BE32-E72D297353CC}">
                <c16:uniqueId val="{0000000B-35F5-42FE-B878-FF44EBA185A6}"/>
              </c:ext>
            </c:extLst>
          </c:dPt>
          <c:cat>
            <c:strRef>
              <c:f>'NSWOS dem pair trawl seine'!$G$78:$G$83</c:f>
              <c:strCache>
                <c:ptCount val="6"/>
                <c:pt idx="0">
                  <c:v>Haddock - 29.4%</c:v>
                </c:pt>
                <c:pt idx="1">
                  <c:v>Cod - 25.9%</c:v>
                </c:pt>
                <c:pt idx="2">
                  <c:v>Whiting - 17.4%</c:v>
                </c:pt>
                <c:pt idx="3">
                  <c:v>Saithe - 10.0%</c:v>
                </c:pt>
                <c:pt idx="4">
                  <c:v>Hake - 8.4%</c:v>
                </c:pt>
                <c:pt idx="5">
                  <c:v>Others - 8.9%</c:v>
                </c:pt>
              </c:strCache>
            </c:strRef>
          </c:cat>
          <c:val>
            <c:numRef>
              <c:f>'NSWOS dem pair trawl seine'!$H$78:$H$83</c:f>
              <c:numCache>
                <c:formatCode>0.0%</c:formatCode>
                <c:ptCount val="6"/>
                <c:pt idx="0">
                  <c:v>0.2941453340944416</c:v>
                </c:pt>
                <c:pt idx="1">
                  <c:v>0.25949922877569315</c:v>
                </c:pt>
                <c:pt idx="2">
                  <c:v>0.17405648526752762</c:v>
                </c:pt>
                <c:pt idx="3">
                  <c:v>9.9564517258761503E-2</c:v>
                </c:pt>
                <c:pt idx="4">
                  <c:v>8.3510076605944381E-2</c:v>
                </c:pt>
                <c:pt idx="5">
                  <c:v>8.9224357997631842E-2</c:v>
                </c:pt>
              </c:numCache>
            </c:numRef>
          </c:val>
          <c:extLst>
            <c:ext xmlns:c16="http://schemas.microsoft.com/office/drawing/2014/chart" uri="{C3380CC4-5D6E-409C-BE32-E72D297353CC}">
              <c16:uniqueId val="{0000000C-35F5-42FE-B878-FF44EBA185A6}"/>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 pair trawl seine'!$C$93</c:f>
              <c:strCache>
                <c:ptCount val="1"/>
                <c:pt idx="0">
                  <c:v>Haddock</c:v>
                </c:pt>
              </c:strCache>
            </c:strRef>
          </c:tx>
          <c:spPr>
            <a:solidFill>
              <a:srgbClr val="2273B9"/>
            </a:solidFill>
            <a:ln>
              <a:solidFill>
                <a:srgbClr val="FFFFFF"/>
              </a:solidFill>
            </a:ln>
          </c:spPr>
          <c:invertIfNegative val="0"/>
          <c:cat>
            <c:numRef>
              <c:f>'NSWOS dem pair trawl 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 pair trawl seine'!$D$93:$M$93</c:f>
              <c:numCache>
                <c:formatCode>0%</c:formatCode>
                <c:ptCount val="10"/>
                <c:pt idx="0">
                  <c:v>0.43569989956170779</c:v>
                </c:pt>
                <c:pt idx="1">
                  <c:v>0.45572136728729962</c:v>
                </c:pt>
                <c:pt idx="2">
                  <c:v>0.39313096614794296</c:v>
                </c:pt>
                <c:pt idx="3">
                  <c:v>0.3152413683490391</c:v>
                </c:pt>
                <c:pt idx="4">
                  <c:v>0.31166557444457293</c:v>
                </c:pt>
                <c:pt idx="5">
                  <c:v>0.26997341836128275</c:v>
                </c:pt>
                <c:pt idx="6">
                  <c:v>0.28056569032451667</c:v>
                </c:pt>
                <c:pt idx="7">
                  <c:v>0.32534921267711864</c:v>
                </c:pt>
                <c:pt idx="8">
                  <c:v>0.2941453340944416</c:v>
                </c:pt>
                <c:pt idx="9">
                  <c:v>0.27302928482815608</c:v>
                </c:pt>
              </c:numCache>
            </c:numRef>
          </c:val>
          <c:extLst>
            <c:ext xmlns:c16="http://schemas.microsoft.com/office/drawing/2014/chart" uri="{C3380CC4-5D6E-409C-BE32-E72D297353CC}">
              <c16:uniqueId val="{00000000-428E-43E0-90D9-F8B942B5F51D}"/>
            </c:ext>
          </c:extLst>
        </c:ser>
        <c:ser>
          <c:idx val="1"/>
          <c:order val="1"/>
          <c:tx>
            <c:strRef>
              <c:f>'NSWOS dem pair trawl seine'!$C$94</c:f>
              <c:strCache>
                <c:ptCount val="1"/>
                <c:pt idx="0">
                  <c:v>Cod</c:v>
                </c:pt>
              </c:strCache>
            </c:strRef>
          </c:tx>
          <c:spPr>
            <a:solidFill>
              <a:srgbClr val="E87308"/>
            </a:solidFill>
            <a:ln>
              <a:solidFill>
                <a:srgbClr val="FFFFFF"/>
              </a:solidFill>
            </a:ln>
          </c:spPr>
          <c:invertIfNegative val="0"/>
          <c:cat>
            <c:numRef>
              <c:f>'NSWOS dem pair trawl 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 pair trawl seine'!$D$94:$M$94</c:f>
              <c:numCache>
                <c:formatCode>0%</c:formatCode>
                <c:ptCount val="10"/>
                <c:pt idx="0">
                  <c:v>0.24821049059428049</c:v>
                </c:pt>
                <c:pt idx="1">
                  <c:v>0.25206868056234105</c:v>
                </c:pt>
                <c:pt idx="2">
                  <c:v>0.27458945988326627</c:v>
                </c:pt>
                <c:pt idx="3">
                  <c:v>0.30302587479758319</c:v>
                </c:pt>
                <c:pt idx="4">
                  <c:v>0.30152815326700477</c:v>
                </c:pt>
                <c:pt idx="5">
                  <c:v>0.29539099634776611</c:v>
                </c:pt>
                <c:pt idx="6">
                  <c:v>0.25100644174834608</c:v>
                </c:pt>
                <c:pt idx="7">
                  <c:v>0.22834972508025625</c:v>
                </c:pt>
                <c:pt idx="8">
                  <c:v>0.25949922877569315</c:v>
                </c:pt>
                <c:pt idx="9">
                  <c:v>0.2597945172761158</c:v>
                </c:pt>
              </c:numCache>
            </c:numRef>
          </c:val>
          <c:extLst>
            <c:ext xmlns:c16="http://schemas.microsoft.com/office/drawing/2014/chart" uri="{C3380CC4-5D6E-409C-BE32-E72D297353CC}">
              <c16:uniqueId val="{00000001-428E-43E0-90D9-F8B942B5F51D}"/>
            </c:ext>
          </c:extLst>
        </c:ser>
        <c:ser>
          <c:idx val="2"/>
          <c:order val="2"/>
          <c:tx>
            <c:strRef>
              <c:f>'NSWOS dem pair trawl seine'!$C$95</c:f>
              <c:strCache>
                <c:ptCount val="1"/>
                <c:pt idx="0">
                  <c:v>Whiting</c:v>
                </c:pt>
              </c:strCache>
            </c:strRef>
          </c:tx>
          <c:spPr>
            <a:solidFill>
              <a:srgbClr val="648C2E"/>
            </a:solidFill>
            <a:ln>
              <a:solidFill>
                <a:srgbClr val="FFFFFF"/>
              </a:solidFill>
            </a:ln>
          </c:spPr>
          <c:invertIfNegative val="0"/>
          <c:cat>
            <c:numRef>
              <c:f>'NSWOS dem pair trawl 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 pair trawl seine'!$D$95:$M$95</c:f>
              <c:numCache>
                <c:formatCode>0%</c:formatCode>
                <c:ptCount val="10"/>
                <c:pt idx="0">
                  <c:v>0.10149966814764605</c:v>
                </c:pt>
                <c:pt idx="1">
                  <c:v>8.3691051558998947E-2</c:v>
                </c:pt>
                <c:pt idx="2">
                  <c:v>8.2947646164777192E-2</c:v>
                </c:pt>
                <c:pt idx="3">
                  <c:v>7.144542290425196E-2</c:v>
                </c:pt>
                <c:pt idx="4">
                  <c:v>7.4548340101231167E-2</c:v>
                </c:pt>
                <c:pt idx="5">
                  <c:v>8.7831940893330671E-2</c:v>
                </c:pt>
                <c:pt idx="6">
                  <c:v>0.1104232485459099</c:v>
                </c:pt>
                <c:pt idx="7">
                  <c:v>0.12140398689764563</c:v>
                </c:pt>
                <c:pt idx="8">
                  <c:v>0.17405648526752762</c:v>
                </c:pt>
                <c:pt idx="9">
                  <c:v>0.12987776478968421</c:v>
                </c:pt>
              </c:numCache>
            </c:numRef>
          </c:val>
          <c:extLst>
            <c:ext xmlns:c16="http://schemas.microsoft.com/office/drawing/2014/chart" uri="{C3380CC4-5D6E-409C-BE32-E72D297353CC}">
              <c16:uniqueId val="{00000002-428E-43E0-90D9-F8B942B5F51D}"/>
            </c:ext>
          </c:extLst>
        </c:ser>
        <c:ser>
          <c:idx val="3"/>
          <c:order val="3"/>
          <c:tx>
            <c:strRef>
              <c:f>'NSWOS dem pair trawl seine'!$C$96</c:f>
              <c:strCache>
                <c:ptCount val="1"/>
                <c:pt idx="0">
                  <c:v>Saithe</c:v>
                </c:pt>
              </c:strCache>
            </c:strRef>
          </c:tx>
          <c:spPr>
            <a:solidFill>
              <a:srgbClr val="C1D119"/>
            </a:solidFill>
            <a:ln>
              <a:solidFill>
                <a:srgbClr val="FFFFFF"/>
              </a:solidFill>
            </a:ln>
          </c:spPr>
          <c:invertIfNegative val="0"/>
          <c:cat>
            <c:numRef>
              <c:f>'NSWOS dem pair trawl 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 pair trawl seine'!$D$96:$M$96</c:f>
              <c:numCache>
                <c:formatCode>0%</c:formatCode>
                <c:ptCount val="10"/>
                <c:pt idx="0">
                  <c:v>7.9000062001669855E-2</c:v>
                </c:pt>
                <c:pt idx="1">
                  <c:v>7.4743093822931927E-2</c:v>
                </c:pt>
                <c:pt idx="2">
                  <c:v>7.8761213691446952E-2</c:v>
                </c:pt>
                <c:pt idx="3">
                  <c:v>7.8725459483241153E-2</c:v>
                </c:pt>
                <c:pt idx="4">
                  <c:v>5.9847002434245039E-2</c:v>
                </c:pt>
                <c:pt idx="5">
                  <c:v>8.3616553680395903E-2</c:v>
                </c:pt>
                <c:pt idx="6">
                  <c:v>0.1078691922029922</c:v>
                </c:pt>
                <c:pt idx="7">
                  <c:v>0.10652331388262802</c:v>
                </c:pt>
                <c:pt idx="8">
                  <c:v>9.9564517258761503E-2</c:v>
                </c:pt>
                <c:pt idx="9">
                  <c:v>0.11681344924002593</c:v>
                </c:pt>
              </c:numCache>
            </c:numRef>
          </c:val>
          <c:extLst>
            <c:ext xmlns:c16="http://schemas.microsoft.com/office/drawing/2014/chart" uri="{C3380CC4-5D6E-409C-BE32-E72D297353CC}">
              <c16:uniqueId val="{00000003-428E-43E0-90D9-F8B942B5F51D}"/>
            </c:ext>
          </c:extLst>
        </c:ser>
        <c:ser>
          <c:idx val="4"/>
          <c:order val="4"/>
          <c:tx>
            <c:strRef>
              <c:f>'NSWOS dem pair trawl seine'!$C$97</c:f>
              <c:strCache>
                <c:ptCount val="1"/>
                <c:pt idx="0">
                  <c:v>Hake</c:v>
                </c:pt>
              </c:strCache>
            </c:strRef>
          </c:tx>
          <c:spPr>
            <a:solidFill>
              <a:srgbClr val="E84A38"/>
            </a:solidFill>
            <a:ln>
              <a:solidFill>
                <a:srgbClr val="FFFFFF"/>
              </a:solidFill>
            </a:ln>
          </c:spPr>
          <c:invertIfNegative val="0"/>
          <c:cat>
            <c:numRef>
              <c:f>'NSWOS dem pair trawl 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 pair trawl seine'!$D$97:$M$97</c:f>
              <c:numCache>
                <c:formatCode>0%</c:formatCode>
                <c:ptCount val="10"/>
                <c:pt idx="0">
                  <c:v>6.5939526086595812E-2</c:v>
                </c:pt>
                <c:pt idx="1">
                  <c:v>7.5130450908800009E-2</c:v>
                </c:pt>
                <c:pt idx="2">
                  <c:v>8.6951573196641152E-2</c:v>
                </c:pt>
                <c:pt idx="3">
                  <c:v>0.11396019385942888</c:v>
                </c:pt>
                <c:pt idx="4">
                  <c:v>0.13805059934020572</c:v>
                </c:pt>
                <c:pt idx="5">
                  <c:v>0.13665158339448044</c:v>
                </c:pt>
                <c:pt idx="6">
                  <c:v>0.13978991082757575</c:v>
                </c:pt>
                <c:pt idx="7">
                  <c:v>0.11178168083321462</c:v>
                </c:pt>
                <c:pt idx="8">
                  <c:v>8.3510076605944381E-2</c:v>
                </c:pt>
                <c:pt idx="9">
                  <c:v>0.10093267401809712</c:v>
                </c:pt>
              </c:numCache>
            </c:numRef>
          </c:val>
          <c:extLst>
            <c:ext xmlns:c16="http://schemas.microsoft.com/office/drawing/2014/chart" uri="{C3380CC4-5D6E-409C-BE32-E72D297353CC}">
              <c16:uniqueId val="{00000004-428E-43E0-90D9-F8B942B5F51D}"/>
            </c:ext>
          </c:extLst>
        </c:ser>
        <c:ser>
          <c:idx val="5"/>
          <c:order val="5"/>
          <c:tx>
            <c:strRef>
              <c:f>'NSWOS dem pair trawl seine'!$C$98</c:f>
              <c:strCache>
                <c:ptCount val="1"/>
                <c:pt idx="0">
                  <c:v>Others</c:v>
                </c:pt>
              </c:strCache>
            </c:strRef>
          </c:tx>
          <c:spPr>
            <a:solidFill>
              <a:srgbClr val="55585A"/>
            </a:solidFill>
            <a:ln>
              <a:solidFill>
                <a:srgbClr val="FFFFFF"/>
              </a:solidFill>
            </a:ln>
          </c:spPr>
          <c:invertIfNegative val="0"/>
          <c:cat>
            <c:numRef>
              <c:f>'NSWOS dem pair trawl 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 pair trawl seine'!$D$98:$M$98</c:f>
              <c:numCache>
                <c:formatCode>0%</c:formatCode>
                <c:ptCount val="10"/>
                <c:pt idx="0">
                  <c:v>6.9650353608100027E-2</c:v>
                </c:pt>
                <c:pt idx="1">
                  <c:v>5.8645355859628427E-2</c:v>
                </c:pt>
                <c:pt idx="2">
                  <c:v>8.3619140915925441E-2</c:v>
                </c:pt>
                <c:pt idx="3">
                  <c:v>0.11760168060645569</c:v>
                </c:pt>
                <c:pt idx="4">
                  <c:v>0.11436033041274034</c:v>
                </c:pt>
                <c:pt idx="5">
                  <c:v>0.1265355073227441</c:v>
                </c:pt>
                <c:pt idx="6">
                  <c:v>0.11034551635065941</c:v>
                </c:pt>
                <c:pt idx="7">
                  <c:v>0.10659208062913682</c:v>
                </c:pt>
                <c:pt idx="8">
                  <c:v>8.9224357997631717E-2</c:v>
                </c:pt>
                <c:pt idx="9">
                  <c:v>0.11955230984792088</c:v>
                </c:pt>
              </c:numCache>
            </c:numRef>
          </c:val>
          <c:extLst>
            <c:ext xmlns:c16="http://schemas.microsoft.com/office/drawing/2014/chart" uri="{C3380CC4-5D6E-409C-BE32-E72D297353CC}">
              <c16:uniqueId val="{00000005-428E-43E0-90D9-F8B942B5F51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 pair trawl seine'!$B$163</c:f>
              <c:strCache>
                <c:ptCount val="1"/>
                <c:pt idx="0">
                  <c:v>Haddock</c:v>
                </c:pt>
              </c:strCache>
            </c:strRef>
          </c:tx>
          <c:spPr>
            <a:solidFill>
              <a:srgbClr val="2273B9"/>
            </a:solidFill>
            <a:ln>
              <a:solidFill>
                <a:srgbClr val="FFFFFF"/>
              </a:solidFill>
            </a:ln>
          </c:spPr>
          <c:invertIfNegative val="0"/>
          <c:cat>
            <c:strRef>
              <c:f>'NSWOS dem pair trawl seine'!$C$162:$E$162</c:f>
              <c:strCache>
                <c:ptCount val="3"/>
                <c:pt idx="0">
                  <c:v>Most
profitable
quartile</c:v>
                </c:pt>
                <c:pt idx="1">
                  <c:v>Middle 
two quartiles</c:v>
                </c:pt>
                <c:pt idx="2">
                  <c:v>Least
profitable
quartile</c:v>
                </c:pt>
              </c:strCache>
            </c:strRef>
          </c:cat>
          <c:val>
            <c:numRef>
              <c:f>'NSWOS dem pair trawl seine'!$C$163:$E$163</c:f>
              <c:numCache>
                <c:formatCode>0%</c:formatCode>
                <c:ptCount val="3"/>
                <c:pt idx="0">
                  <c:v>0.24688296334635779</c:v>
                </c:pt>
                <c:pt idx="1">
                  <c:v>0.54537801914329787</c:v>
                </c:pt>
                <c:pt idx="2">
                  <c:v>0.43154219685960371</c:v>
                </c:pt>
              </c:numCache>
            </c:numRef>
          </c:val>
          <c:extLst>
            <c:ext xmlns:c16="http://schemas.microsoft.com/office/drawing/2014/chart" uri="{C3380CC4-5D6E-409C-BE32-E72D297353CC}">
              <c16:uniqueId val="{00000000-BDA5-4549-B392-5B4043EEE9F1}"/>
            </c:ext>
          </c:extLst>
        </c:ser>
        <c:ser>
          <c:idx val="1"/>
          <c:order val="1"/>
          <c:tx>
            <c:strRef>
              <c:f>'NSWOS dem pair trawl seine'!$B$164</c:f>
              <c:strCache>
                <c:ptCount val="1"/>
                <c:pt idx="0">
                  <c:v>Whiting</c:v>
                </c:pt>
              </c:strCache>
            </c:strRef>
          </c:tx>
          <c:spPr>
            <a:solidFill>
              <a:srgbClr val="648C2E"/>
            </a:solidFill>
            <a:ln>
              <a:solidFill>
                <a:srgbClr val="FFFFFF"/>
              </a:solidFill>
            </a:ln>
          </c:spPr>
          <c:invertIfNegative val="0"/>
          <c:cat>
            <c:strRef>
              <c:f>'NSWOS dem pair trawl seine'!$C$162:$E$162</c:f>
              <c:strCache>
                <c:ptCount val="3"/>
                <c:pt idx="0">
                  <c:v>Most
profitable
quartile</c:v>
                </c:pt>
                <c:pt idx="1">
                  <c:v>Middle 
two quartiles</c:v>
                </c:pt>
                <c:pt idx="2">
                  <c:v>Least
profitable
quartile</c:v>
                </c:pt>
              </c:strCache>
            </c:strRef>
          </c:cat>
          <c:val>
            <c:numRef>
              <c:f>'NSWOS dem pair trawl seine'!$C$164:$E$164</c:f>
              <c:numCache>
                <c:formatCode>0%</c:formatCode>
                <c:ptCount val="3"/>
                <c:pt idx="0">
                  <c:v>0.20910180225143954</c:v>
                </c:pt>
                <c:pt idx="1">
                  <c:v>0.19667317762279679</c:v>
                </c:pt>
                <c:pt idx="2">
                  <c:v>0.19443934637974566</c:v>
                </c:pt>
              </c:numCache>
            </c:numRef>
          </c:val>
          <c:extLst>
            <c:ext xmlns:c16="http://schemas.microsoft.com/office/drawing/2014/chart" uri="{C3380CC4-5D6E-409C-BE32-E72D297353CC}">
              <c16:uniqueId val="{00000001-BDA5-4549-B392-5B4043EEE9F1}"/>
            </c:ext>
          </c:extLst>
        </c:ser>
        <c:ser>
          <c:idx val="2"/>
          <c:order val="2"/>
          <c:tx>
            <c:strRef>
              <c:f>'NSWOS dem pair trawl seine'!$B$165</c:f>
              <c:strCache>
                <c:ptCount val="1"/>
                <c:pt idx="0">
                  <c:v>Saithe</c:v>
                </c:pt>
              </c:strCache>
            </c:strRef>
          </c:tx>
          <c:spPr>
            <a:solidFill>
              <a:srgbClr val="C1D119"/>
            </a:solidFill>
            <a:ln>
              <a:solidFill>
                <a:srgbClr val="FFFFFF"/>
              </a:solidFill>
            </a:ln>
          </c:spPr>
          <c:invertIfNegative val="0"/>
          <c:cat>
            <c:strRef>
              <c:f>'NSWOS dem pair trawl seine'!$C$162:$E$162</c:f>
              <c:strCache>
                <c:ptCount val="3"/>
                <c:pt idx="0">
                  <c:v>Most
profitable
quartile</c:v>
                </c:pt>
                <c:pt idx="1">
                  <c:v>Middle 
two quartiles</c:v>
                </c:pt>
                <c:pt idx="2">
                  <c:v>Least
profitable
quartile</c:v>
                </c:pt>
              </c:strCache>
            </c:strRef>
          </c:cat>
          <c:val>
            <c:numRef>
              <c:f>'NSWOS dem pair trawl seine'!$C$165:$E$165</c:f>
              <c:numCache>
                <c:formatCode>0%</c:formatCode>
                <c:ptCount val="3"/>
                <c:pt idx="0">
                  <c:v>0.20673472034416246</c:v>
                </c:pt>
                <c:pt idx="1">
                  <c:v>0.11397031262450608</c:v>
                </c:pt>
                <c:pt idx="2">
                  <c:v>0.15120880601558315</c:v>
                </c:pt>
              </c:numCache>
            </c:numRef>
          </c:val>
          <c:extLst>
            <c:ext xmlns:c16="http://schemas.microsoft.com/office/drawing/2014/chart" uri="{C3380CC4-5D6E-409C-BE32-E72D297353CC}">
              <c16:uniqueId val="{00000002-BDA5-4549-B392-5B4043EEE9F1}"/>
            </c:ext>
          </c:extLst>
        </c:ser>
        <c:ser>
          <c:idx val="3"/>
          <c:order val="3"/>
          <c:tx>
            <c:strRef>
              <c:f>'NSWOS dem pair trawl seine'!$B$166</c:f>
              <c:strCache>
                <c:ptCount val="1"/>
                <c:pt idx="0">
                  <c:v>Cod</c:v>
                </c:pt>
              </c:strCache>
            </c:strRef>
          </c:tx>
          <c:spPr>
            <a:solidFill>
              <a:srgbClr val="E87308"/>
            </a:solidFill>
            <a:ln>
              <a:solidFill>
                <a:srgbClr val="FFFFFF"/>
              </a:solidFill>
            </a:ln>
          </c:spPr>
          <c:invertIfNegative val="0"/>
          <c:cat>
            <c:strRef>
              <c:f>'NSWOS dem pair trawl seine'!$C$162:$E$162</c:f>
              <c:strCache>
                <c:ptCount val="3"/>
                <c:pt idx="0">
                  <c:v>Most
profitable
quartile</c:v>
                </c:pt>
                <c:pt idx="1">
                  <c:v>Middle 
two quartiles</c:v>
                </c:pt>
                <c:pt idx="2">
                  <c:v>Least
profitable
quartile</c:v>
                </c:pt>
              </c:strCache>
            </c:strRef>
          </c:cat>
          <c:val>
            <c:numRef>
              <c:f>'NSWOS dem pair trawl seine'!$C$166:$E$166</c:f>
              <c:numCache>
                <c:formatCode>0%</c:formatCode>
                <c:ptCount val="3"/>
                <c:pt idx="0">
                  <c:v>0.16507286387439241</c:v>
                </c:pt>
                <c:pt idx="1">
                  <c:v>9.0586030273840643E-2</c:v>
                </c:pt>
                <c:pt idx="2">
                  <c:v>0.11098896316049547</c:v>
                </c:pt>
              </c:numCache>
            </c:numRef>
          </c:val>
          <c:extLst>
            <c:ext xmlns:c16="http://schemas.microsoft.com/office/drawing/2014/chart" uri="{C3380CC4-5D6E-409C-BE32-E72D297353CC}">
              <c16:uniqueId val="{00000003-BDA5-4549-B392-5B4043EEE9F1}"/>
            </c:ext>
          </c:extLst>
        </c:ser>
        <c:ser>
          <c:idx val="4"/>
          <c:order val="4"/>
          <c:tx>
            <c:strRef>
              <c:f>'NSWOS dem pair trawl seine'!$B$167</c:f>
              <c:strCache>
                <c:ptCount val="1"/>
                <c:pt idx="0">
                  <c:v>Hake</c:v>
                </c:pt>
              </c:strCache>
            </c:strRef>
          </c:tx>
          <c:spPr>
            <a:solidFill>
              <a:srgbClr val="E84A38"/>
            </a:solidFill>
            <a:ln>
              <a:solidFill>
                <a:srgbClr val="FFFFFF"/>
              </a:solidFill>
            </a:ln>
          </c:spPr>
          <c:invertIfNegative val="0"/>
          <c:cat>
            <c:strRef>
              <c:f>'NSWOS dem pair trawl seine'!$C$162:$E$162</c:f>
              <c:strCache>
                <c:ptCount val="3"/>
                <c:pt idx="0">
                  <c:v>Most
profitable
quartile</c:v>
                </c:pt>
                <c:pt idx="1">
                  <c:v>Middle 
two quartiles</c:v>
                </c:pt>
                <c:pt idx="2">
                  <c:v>Least
profitable
quartile</c:v>
                </c:pt>
              </c:strCache>
            </c:strRef>
          </c:cat>
          <c:val>
            <c:numRef>
              <c:f>'NSWOS dem pair trawl seine'!$C$167:$E$167</c:f>
              <c:numCache>
                <c:formatCode>0%</c:formatCode>
                <c:ptCount val="3"/>
                <c:pt idx="0">
                  <c:v>8.739909776401121E-2</c:v>
                </c:pt>
                <c:pt idx="1">
                  <c:v>1.9105379673717924E-2</c:v>
                </c:pt>
                <c:pt idx="2">
                  <c:v>3.9067947009201014E-2</c:v>
                </c:pt>
              </c:numCache>
            </c:numRef>
          </c:val>
          <c:extLst>
            <c:ext xmlns:c16="http://schemas.microsoft.com/office/drawing/2014/chart" uri="{C3380CC4-5D6E-409C-BE32-E72D297353CC}">
              <c16:uniqueId val="{00000004-BDA5-4549-B392-5B4043EEE9F1}"/>
            </c:ext>
          </c:extLst>
        </c:ser>
        <c:ser>
          <c:idx val="5"/>
          <c:order val="5"/>
          <c:tx>
            <c:strRef>
              <c:f>'NSWOS dem pair trawl seine'!$B$168</c:f>
              <c:strCache>
                <c:ptCount val="1"/>
                <c:pt idx="0">
                  <c:v>Others</c:v>
                </c:pt>
              </c:strCache>
            </c:strRef>
          </c:tx>
          <c:spPr>
            <a:solidFill>
              <a:srgbClr val="55585A"/>
            </a:solidFill>
            <a:ln>
              <a:solidFill>
                <a:srgbClr val="FFFFFF"/>
              </a:solidFill>
            </a:ln>
          </c:spPr>
          <c:invertIfNegative val="0"/>
          <c:cat>
            <c:strRef>
              <c:f>'NSWOS dem pair trawl seine'!$C$162:$E$162</c:f>
              <c:strCache>
                <c:ptCount val="3"/>
                <c:pt idx="0">
                  <c:v>Most
profitable
quartile</c:v>
                </c:pt>
                <c:pt idx="1">
                  <c:v>Middle 
two quartiles</c:v>
                </c:pt>
                <c:pt idx="2">
                  <c:v>Least
profitable
quartile</c:v>
                </c:pt>
              </c:strCache>
            </c:strRef>
          </c:cat>
          <c:val>
            <c:numRef>
              <c:f>'NSWOS dem pair trawl seine'!$C$168:$E$168</c:f>
              <c:numCache>
                <c:formatCode>0%</c:formatCode>
                <c:ptCount val="3"/>
                <c:pt idx="0">
                  <c:v>8.4808552419636585E-2</c:v>
                </c:pt>
                <c:pt idx="1">
                  <c:v>3.4287080661840719E-2</c:v>
                </c:pt>
                <c:pt idx="2">
                  <c:v>7.2752740575370956E-2</c:v>
                </c:pt>
              </c:numCache>
            </c:numRef>
          </c:val>
          <c:extLst>
            <c:ext xmlns:c16="http://schemas.microsoft.com/office/drawing/2014/chart" uri="{C3380CC4-5D6E-409C-BE32-E72D297353CC}">
              <c16:uniqueId val="{00000005-BDA5-4549-B392-5B4043EEE9F1}"/>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 pair trawl seine'!$H$163</c:f>
              <c:strCache>
                <c:ptCount val="1"/>
                <c:pt idx="0">
                  <c:v>Haddock</c:v>
                </c:pt>
              </c:strCache>
            </c:strRef>
          </c:tx>
          <c:spPr>
            <a:solidFill>
              <a:srgbClr val="2273B9"/>
            </a:solidFill>
            <a:ln>
              <a:solidFill>
                <a:srgbClr val="FFFFFF"/>
              </a:solidFill>
            </a:ln>
          </c:spPr>
          <c:invertIfNegative val="0"/>
          <c:cat>
            <c:strRef>
              <c:f>'NSWOS dem pair trawl seine'!$I$162:$K$162</c:f>
              <c:strCache>
                <c:ptCount val="3"/>
                <c:pt idx="0">
                  <c:v>Most
profitable
quartile</c:v>
                </c:pt>
                <c:pt idx="1">
                  <c:v>Middle 
two quartiles</c:v>
                </c:pt>
                <c:pt idx="2">
                  <c:v>Least
profitable
quartile</c:v>
                </c:pt>
              </c:strCache>
            </c:strRef>
          </c:cat>
          <c:val>
            <c:numRef>
              <c:f>'NSWOS dem pair trawl seine'!$I$163:$K$163</c:f>
              <c:numCache>
                <c:formatCode>0%</c:formatCode>
                <c:ptCount val="3"/>
                <c:pt idx="0">
                  <c:v>0.19964270474729592</c:v>
                </c:pt>
                <c:pt idx="1">
                  <c:v>0.42378923530238605</c:v>
                </c:pt>
                <c:pt idx="2">
                  <c:v>0.32231119440359751</c:v>
                </c:pt>
              </c:numCache>
            </c:numRef>
          </c:val>
          <c:extLst>
            <c:ext xmlns:c16="http://schemas.microsoft.com/office/drawing/2014/chart" uri="{C3380CC4-5D6E-409C-BE32-E72D297353CC}">
              <c16:uniqueId val="{00000000-DC98-4B0B-8FC2-FF45B9D25CBA}"/>
            </c:ext>
          </c:extLst>
        </c:ser>
        <c:ser>
          <c:idx val="1"/>
          <c:order val="1"/>
          <c:tx>
            <c:strRef>
              <c:f>'NSWOS dem pair trawl seine'!$H$164</c:f>
              <c:strCache>
                <c:ptCount val="1"/>
                <c:pt idx="0">
                  <c:v>Cod</c:v>
                </c:pt>
              </c:strCache>
            </c:strRef>
          </c:tx>
          <c:spPr>
            <a:solidFill>
              <a:srgbClr val="E87308"/>
            </a:solidFill>
            <a:ln>
              <a:solidFill>
                <a:srgbClr val="FFFFFF"/>
              </a:solidFill>
            </a:ln>
          </c:spPr>
          <c:invertIfNegative val="0"/>
          <c:cat>
            <c:strRef>
              <c:f>'NSWOS dem pair trawl seine'!$I$162:$K$162</c:f>
              <c:strCache>
                <c:ptCount val="3"/>
                <c:pt idx="0">
                  <c:v>Most
profitable
quartile</c:v>
                </c:pt>
                <c:pt idx="1">
                  <c:v>Middle 
two quartiles</c:v>
                </c:pt>
                <c:pt idx="2">
                  <c:v>Least
profitable
quartile</c:v>
                </c:pt>
              </c:strCache>
            </c:strRef>
          </c:cat>
          <c:val>
            <c:numRef>
              <c:f>'NSWOS dem pair trawl seine'!$I$164:$K$164</c:f>
              <c:numCache>
                <c:formatCode>0%</c:formatCode>
                <c:ptCount val="3"/>
                <c:pt idx="0">
                  <c:v>0.29898226169657655</c:v>
                </c:pt>
                <c:pt idx="1">
                  <c:v>0.21753056175487628</c:v>
                </c:pt>
                <c:pt idx="2">
                  <c:v>0.24261309152072064</c:v>
                </c:pt>
              </c:numCache>
            </c:numRef>
          </c:val>
          <c:extLst>
            <c:ext xmlns:c16="http://schemas.microsoft.com/office/drawing/2014/chart" uri="{C3380CC4-5D6E-409C-BE32-E72D297353CC}">
              <c16:uniqueId val="{00000001-DC98-4B0B-8FC2-FF45B9D25CBA}"/>
            </c:ext>
          </c:extLst>
        </c:ser>
        <c:ser>
          <c:idx val="2"/>
          <c:order val="2"/>
          <c:tx>
            <c:strRef>
              <c:f>'NSWOS dem pair trawl seine'!$H$165</c:f>
              <c:strCache>
                <c:ptCount val="1"/>
                <c:pt idx="0">
                  <c:v>Whiting</c:v>
                </c:pt>
              </c:strCache>
            </c:strRef>
          </c:tx>
          <c:spPr>
            <a:solidFill>
              <a:srgbClr val="648C2E"/>
            </a:solidFill>
            <a:ln>
              <a:solidFill>
                <a:srgbClr val="FFFFFF"/>
              </a:solidFill>
            </a:ln>
          </c:spPr>
          <c:invertIfNegative val="0"/>
          <c:cat>
            <c:strRef>
              <c:f>'NSWOS dem pair trawl seine'!$I$162:$K$162</c:f>
              <c:strCache>
                <c:ptCount val="3"/>
                <c:pt idx="0">
                  <c:v>Most
profitable
quartile</c:v>
                </c:pt>
                <c:pt idx="1">
                  <c:v>Middle 
two quartiles</c:v>
                </c:pt>
                <c:pt idx="2">
                  <c:v>Least
profitable
quartile</c:v>
                </c:pt>
              </c:strCache>
            </c:strRef>
          </c:cat>
          <c:val>
            <c:numRef>
              <c:f>'NSWOS dem pair trawl seine'!$I$165:$K$165</c:f>
              <c:numCache>
                <c:formatCode>0%</c:formatCode>
                <c:ptCount val="3"/>
                <c:pt idx="0">
                  <c:v>0.16409582637950376</c:v>
                </c:pt>
                <c:pt idx="1">
                  <c:v>0.19426374535808028</c:v>
                </c:pt>
                <c:pt idx="2">
                  <c:v>0.1687337695181822</c:v>
                </c:pt>
              </c:numCache>
            </c:numRef>
          </c:val>
          <c:extLst>
            <c:ext xmlns:c16="http://schemas.microsoft.com/office/drawing/2014/chart" uri="{C3380CC4-5D6E-409C-BE32-E72D297353CC}">
              <c16:uniqueId val="{00000002-DC98-4B0B-8FC2-FF45B9D25CBA}"/>
            </c:ext>
          </c:extLst>
        </c:ser>
        <c:ser>
          <c:idx val="3"/>
          <c:order val="3"/>
          <c:tx>
            <c:strRef>
              <c:f>'NSWOS dem pair trawl seine'!$H$166</c:f>
              <c:strCache>
                <c:ptCount val="1"/>
                <c:pt idx="0">
                  <c:v>Saithe</c:v>
                </c:pt>
              </c:strCache>
            </c:strRef>
          </c:tx>
          <c:spPr>
            <a:solidFill>
              <a:srgbClr val="C1D119"/>
            </a:solidFill>
            <a:ln>
              <a:solidFill>
                <a:srgbClr val="FFFFFF"/>
              </a:solidFill>
            </a:ln>
          </c:spPr>
          <c:invertIfNegative val="0"/>
          <c:cat>
            <c:strRef>
              <c:f>'NSWOS dem pair trawl seine'!$I$162:$K$162</c:f>
              <c:strCache>
                <c:ptCount val="3"/>
                <c:pt idx="0">
                  <c:v>Most
profitable
quartile</c:v>
                </c:pt>
                <c:pt idx="1">
                  <c:v>Middle 
two quartiles</c:v>
                </c:pt>
                <c:pt idx="2">
                  <c:v>Least
profitable
quartile</c:v>
                </c:pt>
              </c:strCache>
            </c:strRef>
          </c:cat>
          <c:val>
            <c:numRef>
              <c:f>'NSWOS dem pair trawl seine'!$I$166:$K$166</c:f>
              <c:numCache>
                <c:formatCode>0%</c:formatCode>
                <c:ptCount val="3"/>
                <c:pt idx="0">
                  <c:v>0.11513300007310601</c:v>
                </c:pt>
                <c:pt idx="1">
                  <c:v>8.158450915536547E-2</c:v>
                </c:pt>
                <c:pt idx="2">
                  <c:v>9.7269601848869569E-2</c:v>
                </c:pt>
              </c:numCache>
            </c:numRef>
          </c:val>
          <c:extLst>
            <c:ext xmlns:c16="http://schemas.microsoft.com/office/drawing/2014/chart" uri="{C3380CC4-5D6E-409C-BE32-E72D297353CC}">
              <c16:uniqueId val="{00000003-DC98-4B0B-8FC2-FF45B9D25CBA}"/>
            </c:ext>
          </c:extLst>
        </c:ser>
        <c:ser>
          <c:idx val="4"/>
          <c:order val="4"/>
          <c:tx>
            <c:strRef>
              <c:f>'NSWOS dem pair trawl seine'!$H$167</c:f>
              <c:strCache>
                <c:ptCount val="1"/>
                <c:pt idx="0">
                  <c:v>Hake</c:v>
                </c:pt>
              </c:strCache>
            </c:strRef>
          </c:tx>
          <c:spPr>
            <a:solidFill>
              <a:srgbClr val="E84A38"/>
            </a:solidFill>
            <a:ln>
              <a:solidFill>
                <a:srgbClr val="FFFFFF"/>
              </a:solidFill>
            </a:ln>
          </c:spPr>
          <c:invertIfNegative val="0"/>
          <c:cat>
            <c:strRef>
              <c:f>'NSWOS dem pair trawl seine'!$I$162:$K$162</c:f>
              <c:strCache>
                <c:ptCount val="3"/>
                <c:pt idx="0">
                  <c:v>Most
profitable
quartile</c:v>
                </c:pt>
                <c:pt idx="1">
                  <c:v>Middle 
two quartiles</c:v>
                </c:pt>
                <c:pt idx="2">
                  <c:v>Least
profitable
quartile</c:v>
                </c:pt>
              </c:strCache>
            </c:strRef>
          </c:cat>
          <c:val>
            <c:numRef>
              <c:f>'NSWOS dem pair trawl seine'!$I$167:$K$167</c:f>
              <c:numCache>
                <c:formatCode>0%</c:formatCode>
                <c:ptCount val="3"/>
                <c:pt idx="0">
                  <c:v>0.12315371912910084</c:v>
                </c:pt>
                <c:pt idx="1">
                  <c:v>3.5412486630445647E-2</c:v>
                </c:pt>
                <c:pt idx="2">
                  <c:v>6.9927890077329746E-2</c:v>
                </c:pt>
              </c:numCache>
            </c:numRef>
          </c:val>
          <c:extLst>
            <c:ext xmlns:c16="http://schemas.microsoft.com/office/drawing/2014/chart" uri="{C3380CC4-5D6E-409C-BE32-E72D297353CC}">
              <c16:uniqueId val="{00000004-DC98-4B0B-8FC2-FF45B9D25CBA}"/>
            </c:ext>
          </c:extLst>
        </c:ser>
        <c:ser>
          <c:idx val="5"/>
          <c:order val="5"/>
          <c:tx>
            <c:strRef>
              <c:f>'NSWOS dem pair trawl seine'!$H$168</c:f>
              <c:strCache>
                <c:ptCount val="1"/>
                <c:pt idx="0">
                  <c:v>Others</c:v>
                </c:pt>
              </c:strCache>
            </c:strRef>
          </c:tx>
          <c:spPr>
            <a:solidFill>
              <a:srgbClr val="55585A"/>
            </a:solidFill>
            <a:ln>
              <a:solidFill>
                <a:srgbClr val="FFFFFF"/>
              </a:solidFill>
            </a:ln>
          </c:spPr>
          <c:invertIfNegative val="0"/>
          <c:cat>
            <c:strRef>
              <c:f>'NSWOS dem pair trawl seine'!$I$162:$K$162</c:f>
              <c:strCache>
                <c:ptCount val="3"/>
                <c:pt idx="0">
                  <c:v>Most
profitable
quartile</c:v>
                </c:pt>
                <c:pt idx="1">
                  <c:v>Middle 
two quartiles</c:v>
                </c:pt>
                <c:pt idx="2">
                  <c:v>Least
profitable
quartile</c:v>
                </c:pt>
              </c:strCache>
            </c:strRef>
          </c:cat>
          <c:val>
            <c:numRef>
              <c:f>'NSWOS dem pair trawl seine'!$I$168:$K$168</c:f>
              <c:numCache>
                <c:formatCode>0%</c:formatCode>
                <c:ptCount val="3"/>
                <c:pt idx="0">
                  <c:v>9.8992487974416954E-2</c:v>
                </c:pt>
                <c:pt idx="1">
                  <c:v>4.7419461798846263E-2</c:v>
                </c:pt>
                <c:pt idx="2">
                  <c:v>9.9144452631300339E-2</c:v>
                </c:pt>
              </c:numCache>
            </c:numRef>
          </c:val>
          <c:extLst>
            <c:ext xmlns:c16="http://schemas.microsoft.com/office/drawing/2014/chart" uri="{C3380CC4-5D6E-409C-BE32-E72D297353CC}">
              <c16:uniqueId val="{00000005-DC98-4B0B-8FC2-FF45B9D25CBA}"/>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o250kW'!$K$63</c:f>
          <c:strCache>
            <c:ptCount val="1"/>
            <c:pt idx="0">
              <c:v>Average annual operating profit per vessel (£'000)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A55-48BF-826B-F3642323DFCB}"/>
              </c:ext>
            </c:extLst>
          </c:dPt>
          <c:dPt>
            <c:idx val="10"/>
            <c:bubble3D val="0"/>
            <c:spPr>
              <a:ln w="57150">
                <a:solidFill>
                  <a:schemeClr val="accent5"/>
                </a:solidFill>
                <a:prstDash val="sysDot"/>
              </a:ln>
            </c:spPr>
            <c:extLst>
              <c:ext xmlns:c16="http://schemas.microsoft.com/office/drawing/2014/chart" uri="{C3380CC4-5D6E-409C-BE32-E72D297353CC}">
                <c16:uniqueId val="{00000003-2A55-48BF-826B-F3642323DFCB}"/>
              </c:ext>
            </c:extLst>
          </c:dPt>
          <c:cat>
            <c:numRef>
              <c:f>'Area VIIa nephrops o250kW'!$D$2:$M$2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o250kW'!$D$38:$N$38</c:f>
              <c:numCache>
                <c:formatCode>#,##0.0</c:formatCode>
                <c:ptCount val="11"/>
                <c:pt idx="0">
                  <c:v>85.7</c:v>
                </c:pt>
                <c:pt idx="1">
                  <c:v>55.9</c:v>
                </c:pt>
                <c:pt idx="2">
                  <c:v>53.3</c:v>
                </c:pt>
                <c:pt idx="3">
                  <c:v>93.5</c:v>
                </c:pt>
                <c:pt idx="4">
                  <c:v>98.7</c:v>
                </c:pt>
                <c:pt idx="5">
                  <c:v>85.6</c:v>
                </c:pt>
                <c:pt idx="6">
                  <c:v>59.5</c:v>
                </c:pt>
                <c:pt idx="7">
                  <c:v>123.9</c:v>
                </c:pt>
                <c:pt idx="8">
                  <c:v>71.2</c:v>
                </c:pt>
                <c:pt idx="9">
                  <c:v>54.1</c:v>
                </c:pt>
                <c:pt idx="10">
                  <c:v>32.799999999999997</c:v>
                </c:pt>
              </c:numCache>
            </c:numRef>
          </c:val>
          <c:smooth val="0"/>
          <c:extLst>
            <c:ext xmlns:c16="http://schemas.microsoft.com/office/drawing/2014/chart" uri="{C3380CC4-5D6E-409C-BE32-E72D297353CC}">
              <c16:uniqueId val="{00000004-2A55-48BF-826B-F3642323DFC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 pair trawl seine'!$K$140</c:f>
              <c:strCache>
                <c:ptCount val="1"/>
                <c:pt idx="0">
                  <c:v>Total income</c:v>
                </c:pt>
              </c:strCache>
            </c:strRef>
          </c:tx>
          <c:spPr>
            <a:solidFill>
              <a:srgbClr val="087CBB"/>
            </a:solidFill>
            <a:ln>
              <a:solidFill>
                <a:schemeClr val="accent1"/>
              </a:solidFill>
            </a:ln>
          </c:spPr>
          <c:invertIfNegative val="0"/>
          <c:cat>
            <c:strRef>
              <c:f>'NSWOS dem pair trawl seine'!$L$139:$N$139</c:f>
              <c:strCache>
                <c:ptCount val="3"/>
                <c:pt idx="0">
                  <c:v>Most
profitable
quartile</c:v>
                </c:pt>
                <c:pt idx="1">
                  <c:v>Middle
two quartiles</c:v>
                </c:pt>
                <c:pt idx="2">
                  <c:v>Least
profitable
quartile</c:v>
                </c:pt>
              </c:strCache>
            </c:strRef>
          </c:cat>
          <c:val>
            <c:numRef>
              <c:f>'NSWOS dem pair trawl seine'!$L$140:$N$140</c:f>
              <c:numCache>
                <c:formatCode>#,##0</c:formatCode>
                <c:ptCount val="3"/>
                <c:pt idx="0">
                  <c:v>2621.9434999999999</c:v>
                </c:pt>
                <c:pt idx="1">
                  <c:v>1140.6523749999999</c:v>
                </c:pt>
                <c:pt idx="2">
                  <c:v>590.79137500000002</c:v>
                </c:pt>
              </c:numCache>
            </c:numRef>
          </c:val>
          <c:extLst>
            <c:ext xmlns:c16="http://schemas.microsoft.com/office/drawing/2014/chart" uri="{C3380CC4-5D6E-409C-BE32-E72D297353CC}">
              <c16:uniqueId val="{00000000-7C32-43A8-9FF8-A3FD2547C19B}"/>
            </c:ext>
          </c:extLst>
        </c:ser>
        <c:ser>
          <c:idx val="1"/>
          <c:order val="1"/>
          <c:tx>
            <c:strRef>
              <c:f>'NSWOS dem pair trawl seine'!$K$141</c:f>
              <c:strCache>
                <c:ptCount val="1"/>
                <c:pt idx="0">
                  <c:v>Operating costs</c:v>
                </c:pt>
              </c:strCache>
            </c:strRef>
          </c:tx>
          <c:spPr>
            <a:solidFill>
              <a:srgbClr val="E87308"/>
            </a:solidFill>
          </c:spPr>
          <c:invertIfNegative val="0"/>
          <c:cat>
            <c:strRef>
              <c:f>'NSWOS dem pair trawl seine'!$L$139:$N$139</c:f>
              <c:strCache>
                <c:ptCount val="3"/>
                <c:pt idx="0">
                  <c:v>Most
profitable
quartile</c:v>
                </c:pt>
                <c:pt idx="1">
                  <c:v>Middle
two quartiles</c:v>
                </c:pt>
                <c:pt idx="2">
                  <c:v>Least
profitable
quartile</c:v>
                </c:pt>
              </c:strCache>
            </c:strRef>
          </c:cat>
          <c:val>
            <c:numRef>
              <c:f>'NSWOS dem pair trawl seine'!$L$141:$N$141</c:f>
              <c:numCache>
                <c:formatCode>#,##0</c:formatCode>
                <c:ptCount val="3"/>
                <c:pt idx="0">
                  <c:v>2232.24325</c:v>
                </c:pt>
                <c:pt idx="1">
                  <c:v>1008.6727187499999</c:v>
                </c:pt>
                <c:pt idx="2">
                  <c:v>551.89193750000004</c:v>
                </c:pt>
              </c:numCache>
            </c:numRef>
          </c:val>
          <c:extLst>
            <c:ext xmlns:c16="http://schemas.microsoft.com/office/drawing/2014/chart" uri="{C3380CC4-5D6E-409C-BE32-E72D297353CC}">
              <c16:uniqueId val="{00000001-7C32-43A8-9FF8-A3FD2547C19B}"/>
            </c:ext>
          </c:extLst>
        </c:ser>
        <c:ser>
          <c:idx val="2"/>
          <c:order val="2"/>
          <c:tx>
            <c:strRef>
              <c:f>'NSWOS dem pair trawl seine'!$K$142</c:f>
              <c:strCache>
                <c:ptCount val="1"/>
                <c:pt idx="0">
                  <c:v>Operating profit</c:v>
                </c:pt>
              </c:strCache>
            </c:strRef>
          </c:tx>
          <c:spPr>
            <a:solidFill>
              <a:srgbClr val="51AA81"/>
            </a:solidFill>
          </c:spPr>
          <c:invertIfNegative val="0"/>
          <c:cat>
            <c:strRef>
              <c:f>'NSWOS dem pair trawl seine'!$L$139:$N$139</c:f>
              <c:strCache>
                <c:ptCount val="3"/>
                <c:pt idx="0">
                  <c:v>Most
profitable
quartile</c:v>
                </c:pt>
                <c:pt idx="1">
                  <c:v>Middle
two quartiles</c:v>
                </c:pt>
                <c:pt idx="2">
                  <c:v>Least
profitable
quartile</c:v>
                </c:pt>
              </c:strCache>
            </c:strRef>
          </c:cat>
          <c:val>
            <c:numRef>
              <c:f>'NSWOS dem pair trawl seine'!$L$142:$N$142</c:f>
              <c:numCache>
                <c:formatCode>#,##0</c:formatCode>
                <c:ptCount val="3"/>
                <c:pt idx="0">
                  <c:v>389.70024999999998</c:v>
                </c:pt>
                <c:pt idx="1">
                  <c:v>131.97965625000001</c:v>
                </c:pt>
                <c:pt idx="2">
                  <c:v>38.899437499999998</c:v>
                </c:pt>
              </c:numCache>
            </c:numRef>
          </c:val>
          <c:extLst>
            <c:ext xmlns:c16="http://schemas.microsoft.com/office/drawing/2014/chart" uri="{C3380CC4-5D6E-409C-BE32-E72D297353CC}">
              <c16:uniqueId val="{00000002-7C32-43A8-9FF8-A3FD2547C19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 pair trawl seine'!$K$143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seiners'!$A$49</c:f>
          <c:strCache>
            <c:ptCount val="1"/>
            <c:pt idx="0">
              <c:v>Landings per kW day at sea (kg)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75E3-497A-868C-C92A34CD16E5}"/>
              </c:ext>
            </c:extLst>
          </c:dPt>
          <c:dPt>
            <c:idx val="10"/>
            <c:bubble3D val="0"/>
            <c:spPr>
              <a:ln w="57150">
                <a:solidFill>
                  <a:srgbClr val="2273B9"/>
                </a:solidFill>
                <a:prstDash val="sysDot"/>
              </a:ln>
            </c:spPr>
            <c:extLst>
              <c:ext xmlns:c16="http://schemas.microsoft.com/office/drawing/2014/chart" uri="{C3380CC4-5D6E-409C-BE32-E72D297353CC}">
                <c16:uniqueId val="{00000003-75E3-497A-868C-C92A34CD16E5}"/>
              </c:ext>
            </c:extLst>
          </c:dPt>
          <c:cat>
            <c:numRef>
              <c:f>'NSWOS demersal seiners'!$D$2:$N$2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seiners'!$D$22:$N$22</c:f>
              <c:numCache>
                <c:formatCode>#,##0.00</c:formatCode>
                <c:ptCount val="11"/>
                <c:pt idx="0">
                  <c:v>11.529568433337364</c:v>
                </c:pt>
                <c:pt idx="1">
                  <c:v>8.9154712208699785</c:v>
                </c:pt>
                <c:pt idx="2">
                  <c:v>10.202824663731205</c:v>
                </c:pt>
                <c:pt idx="3">
                  <c:v>9.4220250944414463</c:v>
                </c:pt>
                <c:pt idx="4">
                  <c:v>9.8505721695795074</c:v>
                </c:pt>
                <c:pt idx="5">
                  <c:v>8.2895243402969658</c:v>
                </c:pt>
                <c:pt idx="6">
                  <c:v>10.872289145496374</c:v>
                </c:pt>
                <c:pt idx="7">
                  <c:v>7.8430139853954017</c:v>
                </c:pt>
                <c:pt idx="8">
                  <c:v>4.6406443131337678</c:v>
                </c:pt>
                <c:pt idx="9">
                  <c:v>3.9013346583132309</c:v>
                </c:pt>
                <c:pt idx="10">
                  <c:v>4.5765802616298998</c:v>
                </c:pt>
              </c:numCache>
            </c:numRef>
          </c:val>
          <c:smooth val="0"/>
          <c:extLst>
            <c:ext xmlns:c16="http://schemas.microsoft.com/office/drawing/2014/chart" uri="{C3380CC4-5D6E-409C-BE32-E72D297353CC}">
              <c16:uniqueId val="{00000004-75E3-497A-868C-C92A34CD16E5}"/>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seiners'!$A$50</c:f>
          <c:strCache>
            <c:ptCount val="1"/>
            <c:pt idx="0">
              <c:v>Fishing income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04C-48D6-8CF8-72F165D3B6E8}"/>
              </c:ext>
            </c:extLst>
          </c:dPt>
          <c:dPt>
            <c:idx val="10"/>
            <c:bubble3D val="0"/>
            <c:spPr>
              <a:ln w="57150">
                <a:solidFill>
                  <a:srgbClr val="648C2E"/>
                </a:solidFill>
                <a:prstDash val="sysDot"/>
              </a:ln>
            </c:spPr>
            <c:extLst>
              <c:ext xmlns:c16="http://schemas.microsoft.com/office/drawing/2014/chart" uri="{C3380CC4-5D6E-409C-BE32-E72D297353CC}">
                <c16:uniqueId val="{00000003-C04C-48D6-8CF8-72F165D3B6E8}"/>
              </c:ext>
            </c:extLst>
          </c:dPt>
          <c:cat>
            <c:numRef>
              <c:f>'NSWOS demersal seiners'!$D$2:$N$2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seiners'!$D$23:$N$23</c:f>
              <c:numCache>
                <c:formatCode>#,##0.00</c:formatCode>
                <c:ptCount val="11"/>
                <c:pt idx="0">
                  <c:v>18.228958187191299</c:v>
                </c:pt>
                <c:pt idx="1">
                  <c:v>14.2071140491239</c:v>
                </c:pt>
                <c:pt idx="2">
                  <c:v>17.824288876379502</c:v>
                </c:pt>
                <c:pt idx="3">
                  <c:v>16.285449325418199</c:v>
                </c:pt>
                <c:pt idx="4">
                  <c:v>18.050228146874002</c:v>
                </c:pt>
                <c:pt idx="5">
                  <c:v>16.021570556762001</c:v>
                </c:pt>
                <c:pt idx="6">
                  <c:v>20.478766064610799</c:v>
                </c:pt>
                <c:pt idx="7">
                  <c:v>15.904039191888399</c:v>
                </c:pt>
                <c:pt idx="8">
                  <c:v>7.8657948356530003</c:v>
                </c:pt>
                <c:pt idx="9">
                  <c:v>6.3570613457247198</c:v>
                </c:pt>
                <c:pt idx="10">
                  <c:v>10.965156976916722</c:v>
                </c:pt>
              </c:numCache>
            </c:numRef>
          </c:val>
          <c:smooth val="0"/>
          <c:extLst>
            <c:ext xmlns:c16="http://schemas.microsoft.com/office/drawing/2014/chart" uri="{C3380CC4-5D6E-409C-BE32-E72D297353CC}">
              <c16:uniqueId val="{00000004-C04C-48D6-8CF8-72F165D3B6E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seiners'!$B$63</c:f>
          <c:strCache>
            <c:ptCount val="1"/>
            <c:pt idx="0">
              <c:v>Total cost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CB01-4160-8547-60F72279E9C2}"/>
              </c:ext>
            </c:extLst>
          </c:dPt>
          <c:dPt>
            <c:idx val="10"/>
            <c:bubble3D val="0"/>
            <c:spPr>
              <a:ln w="57150">
                <a:solidFill>
                  <a:srgbClr val="087CBB"/>
                </a:solidFill>
                <a:prstDash val="sysDot"/>
              </a:ln>
            </c:spPr>
            <c:extLst>
              <c:ext xmlns:c16="http://schemas.microsoft.com/office/drawing/2014/chart" uri="{C3380CC4-5D6E-409C-BE32-E72D297353CC}">
                <c16:uniqueId val="{00000003-CB01-4160-8547-60F72279E9C2}"/>
              </c:ext>
            </c:extLst>
          </c:dPt>
          <c:cat>
            <c:numRef>
              <c:f>'NSWOS demersal seiners'!$D$2:$N$2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seiners'!$D$24:$N$24</c:f>
              <c:numCache>
                <c:formatCode>#,##0.00</c:formatCode>
                <c:ptCount val="11"/>
                <c:pt idx="0">
                  <c:v>16.670189239924099</c:v>
                </c:pt>
                <c:pt idx="1">
                  <c:v>13.205146117138399</c:v>
                </c:pt>
                <c:pt idx="2">
                  <c:v>14.8142832003408</c:v>
                </c:pt>
                <c:pt idx="3">
                  <c:v>14.6255110631409</c:v>
                </c:pt>
                <c:pt idx="4">
                  <c:v>15.082064298341701</c:v>
                </c:pt>
                <c:pt idx="5">
                  <c:v>12.7958400237259</c:v>
                </c:pt>
                <c:pt idx="6">
                  <c:v>15.890150260930501</c:v>
                </c:pt>
                <c:pt idx="7">
                  <c:v>13.729828398899199</c:v>
                </c:pt>
                <c:pt idx="8">
                  <c:v>6.87594668595644</c:v>
                </c:pt>
                <c:pt idx="9">
                  <c:v>6.0652740657954602</c:v>
                </c:pt>
                <c:pt idx="10">
                  <c:v>10.505855801212032</c:v>
                </c:pt>
              </c:numCache>
            </c:numRef>
          </c:val>
          <c:smooth val="0"/>
          <c:extLst>
            <c:ext xmlns:c16="http://schemas.microsoft.com/office/drawing/2014/chart" uri="{C3380CC4-5D6E-409C-BE32-E72D297353CC}">
              <c16:uniqueId val="{00000004-CB01-4160-8547-60F72279E9C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seiners'!$K$49</c:f>
          <c:strCache>
            <c:ptCount val="1"/>
            <c:pt idx="0">
              <c:v>Operating profit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787-411C-A8AE-EBF338FBD98E}"/>
              </c:ext>
            </c:extLst>
          </c:dPt>
          <c:dPt>
            <c:idx val="10"/>
            <c:bubble3D val="0"/>
            <c:spPr>
              <a:ln w="57150">
                <a:solidFill>
                  <a:schemeClr val="accent3"/>
                </a:solidFill>
                <a:prstDash val="sysDot"/>
              </a:ln>
            </c:spPr>
            <c:extLst>
              <c:ext xmlns:c16="http://schemas.microsoft.com/office/drawing/2014/chart" uri="{C3380CC4-5D6E-409C-BE32-E72D297353CC}">
                <c16:uniqueId val="{00000003-6787-411C-A8AE-EBF338FBD98E}"/>
              </c:ext>
            </c:extLst>
          </c:dPt>
          <c:cat>
            <c:numRef>
              <c:f>'NSWOS demersal seiners'!$D$2:$N$2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seiners'!$D$25:$N$25</c:f>
              <c:numCache>
                <c:formatCode>#,##0.00</c:formatCode>
                <c:ptCount val="11"/>
                <c:pt idx="0">
                  <c:v>3.7952500290615898</c:v>
                </c:pt>
                <c:pt idx="1">
                  <c:v>2.8087454436144101</c:v>
                </c:pt>
                <c:pt idx="2">
                  <c:v>4.6426987675094296</c:v>
                </c:pt>
                <c:pt idx="3">
                  <c:v>4.0703136535348099</c:v>
                </c:pt>
                <c:pt idx="4">
                  <c:v>4.2744472941473601</c:v>
                </c:pt>
                <c:pt idx="5">
                  <c:v>4.3796500889522001</c:v>
                </c:pt>
                <c:pt idx="6">
                  <c:v>5.7379652171506397</c:v>
                </c:pt>
                <c:pt idx="7">
                  <c:v>2.4796989322005598</c:v>
                </c:pt>
                <c:pt idx="8">
                  <c:v>1.3289580369414</c:v>
                </c:pt>
                <c:pt idx="9">
                  <c:v>0.49402770091138298</c:v>
                </c:pt>
                <c:pt idx="10">
                  <c:v>0.80814126727087499</c:v>
                </c:pt>
              </c:numCache>
            </c:numRef>
          </c:val>
          <c:smooth val="0"/>
          <c:extLst>
            <c:ext xmlns:c16="http://schemas.microsoft.com/office/drawing/2014/chart" uri="{C3380CC4-5D6E-409C-BE32-E72D297353CC}">
              <c16:uniqueId val="{00000004-6787-411C-A8AE-EBF338FBD98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seiners'!$A$51</c:f>
          <c:strCache>
            <c:ptCount val="1"/>
            <c:pt idx="0">
              <c:v>Average price per tonne landed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FE03-4385-9920-38A368060E35}"/>
              </c:ext>
            </c:extLst>
          </c:dPt>
          <c:dPt>
            <c:idx val="10"/>
            <c:bubble3D val="0"/>
            <c:spPr>
              <a:ln w="57150">
                <a:solidFill>
                  <a:schemeClr val="accent4"/>
                </a:solidFill>
                <a:prstDash val="sysDot"/>
              </a:ln>
            </c:spPr>
            <c:extLst>
              <c:ext xmlns:c16="http://schemas.microsoft.com/office/drawing/2014/chart" uri="{C3380CC4-5D6E-409C-BE32-E72D297353CC}">
                <c16:uniqueId val="{00000003-FE03-4385-9920-38A368060E35}"/>
              </c:ext>
            </c:extLst>
          </c:dPt>
          <c:cat>
            <c:numRef>
              <c:f>'NSWOS demersal seiners'!$D$2:$M$2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seiners'!$D$21:$N$21</c:f>
              <c:numCache>
                <c:formatCode>#,##0</c:formatCode>
                <c:ptCount val="11"/>
                <c:pt idx="0">
                  <c:v>1581</c:v>
                </c:pt>
                <c:pt idx="1">
                  <c:v>1594</c:v>
                </c:pt>
                <c:pt idx="2">
                  <c:v>1747</c:v>
                </c:pt>
                <c:pt idx="3">
                  <c:v>1728</c:v>
                </c:pt>
                <c:pt idx="4">
                  <c:v>1832</c:v>
                </c:pt>
                <c:pt idx="5">
                  <c:v>1933</c:v>
                </c:pt>
                <c:pt idx="6">
                  <c:v>1884</c:v>
                </c:pt>
                <c:pt idx="7">
                  <c:v>2028</c:v>
                </c:pt>
                <c:pt idx="8">
                  <c:v>1695</c:v>
                </c:pt>
                <c:pt idx="9">
                  <c:v>1629</c:v>
                </c:pt>
                <c:pt idx="10">
                  <c:v>2396</c:v>
                </c:pt>
              </c:numCache>
            </c:numRef>
          </c:val>
          <c:smooth val="0"/>
          <c:extLst>
            <c:ext xmlns:c16="http://schemas.microsoft.com/office/drawing/2014/chart" uri="{C3380CC4-5D6E-409C-BE32-E72D297353CC}">
              <c16:uniqueId val="{00000004-FE03-4385-9920-38A368060E35}"/>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seiners'!$K$63</c:f>
          <c:strCache>
            <c:ptCount val="1"/>
            <c:pt idx="0">
              <c:v>Average annual operating profit per vessel (£'000)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0BCC-4F72-8B6A-5414E50349E6}"/>
              </c:ext>
            </c:extLst>
          </c:dPt>
          <c:dPt>
            <c:idx val="10"/>
            <c:bubble3D val="0"/>
            <c:spPr>
              <a:ln w="57150">
                <a:solidFill>
                  <a:schemeClr val="accent5"/>
                </a:solidFill>
                <a:prstDash val="sysDot"/>
              </a:ln>
            </c:spPr>
            <c:extLst>
              <c:ext xmlns:c16="http://schemas.microsoft.com/office/drawing/2014/chart" uri="{C3380CC4-5D6E-409C-BE32-E72D297353CC}">
                <c16:uniqueId val="{00000003-0BCC-4F72-8B6A-5414E50349E6}"/>
              </c:ext>
            </c:extLst>
          </c:dPt>
          <c:cat>
            <c:numRef>
              <c:f>'NSWOS demersal seiners'!$D$2:$M$2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seiners'!$D$38:$N$38</c:f>
              <c:numCache>
                <c:formatCode>#,##0.0</c:formatCode>
                <c:ptCount val="11"/>
                <c:pt idx="0">
                  <c:v>203.7</c:v>
                </c:pt>
                <c:pt idx="1">
                  <c:v>215</c:v>
                </c:pt>
                <c:pt idx="2">
                  <c:v>325.5</c:v>
                </c:pt>
                <c:pt idx="3">
                  <c:v>294.60000000000002</c:v>
                </c:pt>
                <c:pt idx="4">
                  <c:v>313.10000000000002</c:v>
                </c:pt>
                <c:pt idx="5">
                  <c:v>425.9</c:v>
                </c:pt>
                <c:pt idx="6">
                  <c:v>447</c:v>
                </c:pt>
                <c:pt idx="7">
                  <c:v>297.8</c:v>
                </c:pt>
                <c:pt idx="8">
                  <c:v>194.3</c:v>
                </c:pt>
                <c:pt idx="9">
                  <c:v>82</c:v>
                </c:pt>
                <c:pt idx="10">
                  <c:v>135.69999999999999</c:v>
                </c:pt>
              </c:numCache>
            </c:numRef>
          </c:val>
          <c:smooth val="0"/>
          <c:extLst>
            <c:ext xmlns:c16="http://schemas.microsoft.com/office/drawing/2014/chart" uri="{C3380CC4-5D6E-409C-BE32-E72D297353CC}">
              <c16:uniqueId val="{00000004-0BCC-4F72-8B6A-5414E50349E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seiners'!$A$77</c:f>
          <c:strCache>
            <c:ptCount val="1"/>
            <c:pt idx="0">
              <c:v>Top 5 landed species by volume in 2021
NSWOS demersal seiners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F55-477F-9053-F3B9466C2FC3}"/>
              </c:ext>
            </c:extLst>
          </c:dPt>
          <c:dPt>
            <c:idx val="1"/>
            <c:bubble3D val="0"/>
            <c:spPr>
              <a:solidFill>
                <a:srgbClr val="E87308"/>
              </a:solidFill>
              <a:ln>
                <a:solidFill>
                  <a:srgbClr val="FFFFFF"/>
                </a:solidFill>
              </a:ln>
            </c:spPr>
            <c:extLst>
              <c:ext xmlns:c16="http://schemas.microsoft.com/office/drawing/2014/chart" uri="{C3380CC4-5D6E-409C-BE32-E72D297353CC}">
                <c16:uniqueId val="{00000003-BF55-477F-9053-F3B9466C2FC3}"/>
              </c:ext>
            </c:extLst>
          </c:dPt>
          <c:dPt>
            <c:idx val="2"/>
            <c:bubble3D val="0"/>
            <c:spPr>
              <a:solidFill>
                <a:srgbClr val="C1D119"/>
              </a:solidFill>
              <a:ln>
                <a:solidFill>
                  <a:srgbClr val="FFFFFF"/>
                </a:solidFill>
              </a:ln>
            </c:spPr>
            <c:extLst>
              <c:ext xmlns:c16="http://schemas.microsoft.com/office/drawing/2014/chart" uri="{C3380CC4-5D6E-409C-BE32-E72D297353CC}">
                <c16:uniqueId val="{00000005-BF55-477F-9053-F3B9466C2FC3}"/>
              </c:ext>
            </c:extLst>
          </c:dPt>
          <c:dPt>
            <c:idx val="3"/>
            <c:bubble3D val="0"/>
            <c:spPr>
              <a:solidFill>
                <a:srgbClr val="648C2E"/>
              </a:solidFill>
              <a:ln>
                <a:solidFill>
                  <a:srgbClr val="FFFFFF"/>
                </a:solidFill>
              </a:ln>
            </c:spPr>
            <c:extLst>
              <c:ext xmlns:c16="http://schemas.microsoft.com/office/drawing/2014/chart" uri="{C3380CC4-5D6E-409C-BE32-E72D297353CC}">
                <c16:uniqueId val="{00000007-BF55-477F-9053-F3B9466C2FC3}"/>
              </c:ext>
            </c:extLst>
          </c:dPt>
          <c:dPt>
            <c:idx val="4"/>
            <c:bubble3D val="0"/>
            <c:spPr>
              <a:solidFill>
                <a:srgbClr val="E84A38"/>
              </a:solidFill>
              <a:ln>
                <a:solidFill>
                  <a:srgbClr val="FFFFFF"/>
                </a:solidFill>
              </a:ln>
            </c:spPr>
            <c:extLst>
              <c:ext xmlns:c16="http://schemas.microsoft.com/office/drawing/2014/chart" uri="{C3380CC4-5D6E-409C-BE32-E72D297353CC}">
                <c16:uniqueId val="{00000009-BF55-477F-9053-F3B9466C2FC3}"/>
              </c:ext>
            </c:extLst>
          </c:dPt>
          <c:dPt>
            <c:idx val="5"/>
            <c:bubble3D val="0"/>
            <c:spPr>
              <a:solidFill>
                <a:srgbClr val="55585A"/>
              </a:solidFill>
              <a:ln>
                <a:solidFill>
                  <a:srgbClr val="FFFFFF"/>
                </a:solidFill>
              </a:ln>
            </c:spPr>
            <c:extLst>
              <c:ext xmlns:c16="http://schemas.microsoft.com/office/drawing/2014/chart" uri="{C3380CC4-5D6E-409C-BE32-E72D297353CC}">
                <c16:uniqueId val="{0000000B-BF55-477F-9053-F3B9466C2FC3}"/>
              </c:ext>
            </c:extLst>
          </c:dPt>
          <c:cat>
            <c:strRef>
              <c:f>'NSWOS demersal seiners'!$B$78:$B$83</c:f>
              <c:strCache>
                <c:ptCount val="6"/>
                <c:pt idx="0">
                  <c:v>Whiting - 23.1%</c:v>
                </c:pt>
                <c:pt idx="1">
                  <c:v>Haddock - 20.0%</c:v>
                </c:pt>
                <c:pt idx="2">
                  <c:v>Plaice - 14.2%</c:v>
                </c:pt>
                <c:pt idx="3">
                  <c:v>Cod - 6.7%</c:v>
                </c:pt>
                <c:pt idx="4">
                  <c:v>-5.60%</c:v>
                </c:pt>
                <c:pt idx="5">
                  <c:v>Others - 30.5%</c:v>
                </c:pt>
              </c:strCache>
            </c:strRef>
          </c:cat>
          <c:val>
            <c:numRef>
              <c:f>'NSWOS demersal seiners'!$C$78:$C$83</c:f>
              <c:numCache>
                <c:formatCode>0.0%</c:formatCode>
                <c:ptCount val="6"/>
                <c:pt idx="0">
                  <c:v>0.23072683572755101</c:v>
                </c:pt>
                <c:pt idx="1">
                  <c:v>0.20015966800092172</c:v>
                </c:pt>
                <c:pt idx="2">
                  <c:v>0.1415365271627804</c:v>
                </c:pt>
                <c:pt idx="3">
                  <c:v>6.6597209194180995E-2</c:v>
                </c:pt>
                <c:pt idx="4">
                  <c:v>5.6420291667495952E-2</c:v>
                </c:pt>
                <c:pt idx="5">
                  <c:v>0.30455946824706992</c:v>
                </c:pt>
              </c:numCache>
            </c:numRef>
          </c:val>
          <c:extLst>
            <c:ext xmlns:c16="http://schemas.microsoft.com/office/drawing/2014/chart" uri="{C3380CC4-5D6E-409C-BE32-E72D297353CC}">
              <c16:uniqueId val="{0000000C-BF55-477F-9053-F3B9466C2FC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seiners'!$F$77</c:f>
          <c:strCache>
            <c:ptCount val="1"/>
            <c:pt idx="0">
              <c:v>Top 5 landed species by value in 2021
NSWOS demersal seiners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720-4C75-B0D3-4E05CC4459E5}"/>
              </c:ext>
            </c:extLst>
          </c:dPt>
          <c:dPt>
            <c:idx val="1"/>
            <c:bubble3D val="0"/>
            <c:spPr>
              <a:solidFill>
                <a:srgbClr val="E87308"/>
              </a:solidFill>
              <a:ln>
                <a:solidFill>
                  <a:srgbClr val="FFFFFF"/>
                </a:solidFill>
              </a:ln>
            </c:spPr>
            <c:extLst>
              <c:ext xmlns:c16="http://schemas.microsoft.com/office/drawing/2014/chart" uri="{C3380CC4-5D6E-409C-BE32-E72D297353CC}">
                <c16:uniqueId val="{00000003-B720-4C75-B0D3-4E05CC4459E5}"/>
              </c:ext>
            </c:extLst>
          </c:dPt>
          <c:dPt>
            <c:idx val="2"/>
            <c:bubble3D val="0"/>
            <c:spPr>
              <a:solidFill>
                <a:srgbClr val="648C2E"/>
              </a:solidFill>
              <a:ln>
                <a:solidFill>
                  <a:srgbClr val="FFFFFF"/>
                </a:solidFill>
              </a:ln>
            </c:spPr>
            <c:extLst>
              <c:ext xmlns:c16="http://schemas.microsoft.com/office/drawing/2014/chart" uri="{C3380CC4-5D6E-409C-BE32-E72D297353CC}">
                <c16:uniqueId val="{00000005-B720-4C75-B0D3-4E05CC4459E5}"/>
              </c:ext>
            </c:extLst>
          </c:dPt>
          <c:dPt>
            <c:idx val="3"/>
            <c:bubble3D val="0"/>
            <c:spPr>
              <a:solidFill>
                <a:srgbClr val="C1D119"/>
              </a:solidFill>
              <a:ln>
                <a:solidFill>
                  <a:srgbClr val="FFFFFF"/>
                </a:solidFill>
              </a:ln>
            </c:spPr>
            <c:extLst>
              <c:ext xmlns:c16="http://schemas.microsoft.com/office/drawing/2014/chart" uri="{C3380CC4-5D6E-409C-BE32-E72D297353CC}">
                <c16:uniqueId val="{00000007-B720-4C75-B0D3-4E05CC4459E5}"/>
              </c:ext>
            </c:extLst>
          </c:dPt>
          <c:dPt>
            <c:idx val="4"/>
            <c:bubble3D val="0"/>
            <c:spPr>
              <a:solidFill>
                <a:srgbClr val="E84A38"/>
              </a:solidFill>
              <a:ln>
                <a:solidFill>
                  <a:srgbClr val="FFFFFF"/>
                </a:solidFill>
              </a:ln>
            </c:spPr>
            <c:extLst>
              <c:ext xmlns:c16="http://schemas.microsoft.com/office/drawing/2014/chart" uri="{C3380CC4-5D6E-409C-BE32-E72D297353CC}">
                <c16:uniqueId val="{00000009-B720-4C75-B0D3-4E05CC4459E5}"/>
              </c:ext>
            </c:extLst>
          </c:dPt>
          <c:dPt>
            <c:idx val="5"/>
            <c:bubble3D val="0"/>
            <c:spPr>
              <a:solidFill>
                <a:srgbClr val="55585A"/>
              </a:solidFill>
              <a:ln>
                <a:solidFill>
                  <a:srgbClr val="FFFFFF"/>
                </a:solidFill>
              </a:ln>
            </c:spPr>
            <c:extLst>
              <c:ext xmlns:c16="http://schemas.microsoft.com/office/drawing/2014/chart" uri="{C3380CC4-5D6E-409C-BE32-E72D297353CC}">
                <c16:uniqueId val="{0000000B-B720-4C75-B0D3-4E05CC4459E5}"/>
              </c:ext>
            </c:extLst>
          </c:dPt>
          <c:cat>
            <c:strRef>
              <c:f>'NSWOS demersal seiners'!$G$78:$G$83</c:f>
              <c:strCache>
                <c:ptCount val="6"/>
                <c:pt idx="0">
                  <c:v>Whiting - 20.6%</c:v>
                </c:pt>
                <c:pt idx="1">
                  <c:v>Haddock - 17.4%</c:v>
                </c:pt>
                <c:pt idx="2">
                  <c:v>Cod - 14.8%</c:v>
                </c:pt>
                <c:pt idx="3">
                  <c:v>Plaice - 8.8%</c:v>
                </c:pt>
                <c:pt idx="4">
                  <c:v>Hake - 6.9%</c:v>
                </c:pt>
                <c:pt idx="5">
                  <c:v>Others - 31.5%</c:v>
                </c:pt>
              </c:strCache>
            </c:strRef>
          </c:cat>
          <c:val>
            <c:numRef>
              <c:f>'NSWOS demersal seiners'!$H$78:$H$83</c:f>
              <c:numCache>
                <c:formatCode>0.0%</c:formatCode>
                <c:ptCount val="6"/>
                <c:pt idx="0">
                  <c:v>0.2060838361723917</c:v>
                </c:pt>
                <c:pt idx="1">
                  <c:v>0.17362107138054342</c:v>
                </c:pt>
                <c:pt idx="2">
                  <c:v>0.14814913453094775</c:v>
                </c:pt>
                <c:pt idx="3">
                  <c:v>8.8039976832122002E-2</c:v>
                </c:pt>
                <c:pt idx="4">
                  <c:v>6.887668272467988E-2</c:v>
                </c:pt>
                <c:pt idx="5">
                  <c:v>0.31522929835931524</c:v>
                </c:pt>
              </c:numCache>
            </c:numRef>
          </c:val>
          <c:extLst>
            <c:ext xmlns:c16="http://schemas.microsoft.com/office/drawing/2014/chart" uri="{C3380CC4-5D6E-409C-BE32-E72D297353CC}">
              <c16:uniqueId val="{0000000C-B720-4C75-B0D3-4E05CC4459E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seiners'!$C$93</c:f>
              <c:strCache>
                <c:ptCount val="1"/>
                <c:pt idx="0">
                  <c:v>Whiting</c:v>
                </c:pt>
              </c:strCache>
            </c:strRef>
          </c:tx>
          <c:spPr>
            <a:solidFill>
              <a:srgbClr val="2273B9"/>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seiners'!$D$93:$M$93</c:f>
              <c:numCache>
                <c:formatCode>0%</c:formatCode>
                <c:ptCount val="10"/>
                <c:pt idx="0">
                  <c:v>0.11575033247992132</c:v>
                </c:pt>
                <c:pt idx="1">
                  <c:v>0.11159738637316681</c:v>
                </c:pt>
                <c:pt idx="2">
                  <c:v>0.13706851638502218</c:v>
                </c:pt>
                <c:pt idx="3">
                  <c:v>0.1305276876263797</c:v>
                </c:pt>
                <c:pt idx="4">
                  <c:v>0.1149062691302306</c:v>
                </c:pt>
                <c:pt idx="5">
                  <c:v>0.14755315363338437</c:v>
                </c:pt>
                <c:pt idx="6">
                  <c:v>0.14871565047589705</c:v>
                </c:pt>
                <c:pt idx="7">
                  <c:v>0.15996565037644744</c:v>
                </c:pt>
                <c:pt idx="8">
                  <c:v>0.2060838361723917</c:v>
                </c:pt>
                <c:pt idx="9">
                  <c:v>0.11168019013347523</c:v>
                </c:pt>
              </c:numCache>
            </c:numRef>
          </c:val>
          <c:extLst>
            <c:ext xmlns:c16="http://schemas.microsoft.com/office/drawing/2014/chart" uri="{C3380CC4-5D6E-409C-BE32-E72D297353CC}">
              <c16:uniqueId val="{00000000-C339-4045-8EA9-98874F3EA7B5}"/>
            </c:ext>
          </c:extLst>
        </c:ser>
        <c:ser>
          <c:idx val="1"/>
          <c:order val="1"/>
          <c:tx>
            <c:strRef>
              <c:f>'NSWOS demersal seiners'!$C$94</c:f>
              <c:strCache>
                <c:ptCount val="1"/>
                <c:pt idx="0">
                  <c:v>Haddock</c:v>
                </c:pt>
              </c:strCache>
            </c:strRef>
          </c:tx>
          <c:spPr>
            <a:solidFill>
              <a:srgbClr val="E87308"/>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seiners'!$D$94:$M$94</c:f>
              <c:numCache>
                <c:formatCode>0%</c:formatCode>
                <c:ptCount val="10"/>
                <c:pt idx="0">
                  <c:v>0.33757213383115148</c:v>
                </c:pt>
                <c:pt idx="1">
                  <c:v>0.36537246228181097</c:v>
                </c:pt>
                <c:pt idx="2">
                  <c:v>0.37030308508093396</c:v>
                </c:pt>
                <c:pt idx="3">
                  <c:v>0.28414273859013539</c:v>
                </c:pt>
                <c:pt idx="4">
                  <c:v>0.25175957726650189</c:v>
                </c:pt>
                <c:pt idx="5">
                  <c:v>0.30772383390297231</c:v>
                </c:pt>
                <c:pt idx="6">
                  <c:v>0.24501059630773842</c:v>
                </c:pt>
                <c:pt idx="7">
                  <c:v>0.20169848373187857</c:v>
                </c:pt>
                <c:pt idx="8">
                  <c:v>0.17362107138054342</c:v>
                </c:pt>
                <c:pt idx="9">
                  <c:v>0.12441924299830877</c:v>
                </c:pt>
              </c:numCache>
            </c:numRef>
          </c:val>
          <c:extLst>
            <c:ext xmlns:c16="http://schemas.microsoft.com/office/drawing/2014/chart" uri="{C3380CC4-5D6E-409C-BE32-E72D297353CC}">
              <c16:uniqueId val="{00000001-C339-4045-8EA9-98874F3EA7B5}"/>
            </c:ext>
          </c:extLst>
        </c:ser>
        <c:ser>
          <c:idx val="2"/>
          <c:order val="2"/>
          <c:tx>
            <c:strRef>
              <c:f>'NSWOS demersal seiners'!$C$95</c:f>
              <c:strCache>
                <c:ptCount val="1"/>
                <c:pt idx="0">
                  <c:v>Cod</c:v>
                </c:pt>
              </c:strCache>
            </c:strRef>
          </c:tx>
          <c:spPr>
            <a:solidFill>
              <a:srgbClr val="648C2E"/>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seiners'!$D$95:$M$95</c:f>
              <c:numCache>
                <c:formatCode>0%</c:formatCode>
                <c:ptCount val="10"/>
                <c:pt idx="0">
                  <c:v>0.17013011637707243</c:v>
                </c:pt>
                <c:pt idx="1">
                  <c:v>0.14226071779572208</c:v>
                </c:pt>
                <c:pt idx="2">
                  <c:v>0.21145673080378574</c:v>
                </c:pt>
                <c:pt idx="3">
                  <c:v>0.24472156529666844</c:v>
                </c:pt>
                <c:pt idx="4">
                  <c:v>0.20325954892461084</c:v>
                </c:pt>
                <c:pt idx="5">
                  <c:v>0.27120520210068022</c:v>
                </c:pt>
                <c:pt idx="6">
                  <c:v>0.23114419305681619</c:v>
                </c:pt>
                <c:pt idx="7">
                  <c:v>0.13494897276514362</c:v>
                </c:pt>
                <c:pt idx="8">
                  <c:v>0.14814913453094775</c:v>
                </c:pt>
                <c:pt idx="9">
                  <c:v>0.10482684599394267</c:v>
                </c:pt>
              </c:numCache>
            </c:numRef>
          </c:val>
          <c:extLst>
            <c:ext xmlns:c16="http://schemas.microsoft.com/office/drawing/2014/chart" uri="{C3380CC4-5D6E-409C-BE32-E72D297353CC}">
              <c16:uniqueId val="{00000002-C339-4045-8EA9-98874F3EA7B5}"/>
            </c:ext>
          </c:extLst>
        </c:ser>
        <c:ser>
          <c:idx val="3"/>
          <c:order val="3"/>
          <c:tx>
            <c:strRef>
              <c:f>'NSWOS demersal seiners'!$C$96</c:f>
              <c:strCache>
                <c:ptCount val="1"/>
                <c:pt idx="0">
                  <c:v>Plaice</c:v>
                </c:pt>
              </c:strCache>
            </c:strRef>
          </c:tx>
          <c:spPr>
            <a:solidFill>
              <a:srgbClr val="C1D119"/>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seiners'!$D$96:$M$96</c:f>
              <c:numCache>
                <c:formatCode>0%</c:formatCode>
                <c:ptCount val="10"/>
                <c:pt idx="0">
                  <c:v>0.13379116124589549</c:v>
                </c:pt>
                <c:pt idx="1">
                  <c:v>0.10885742833971571</c:v>
                </c:pt>
                <c:pt idx="2">
                  <c:v>6.0072866403013021E-2</c:v>
                </c:pt>
                <c:pt idx="3">
                  <c:v>5.4075980328040389E-2</c:v>
                </c:pt>
                <c:pt idx="4">
                  <c:v>0.10311766915589114</c:v>
                </c:pt>
                <c:pt idx="6">
                  <c:v>4.6970153386238542E-2</c:v>
                </c:pt>
                <c:pt idx="8">
                  <c:v>8.8039976832122002E-2</c:v>
                </c:pt>
                <c:pt idx="9">
                  <c:v>0.13463876011437959</c:v>
                </c:pt>
              </c:numCache>
            </c:numRef>
          </c:val>
          <c:extLst>
            <c:ext xmlns:c16="http://schemas.microsoft.com/office/drawing/2014/chart" uri="{C3380CC4-5D6E-409C-BE32-E72D297353CC}">
              <c16:uniqueId val="{00000003-C339-4045-8EA9-98874F3EA7B5}"/>
            </c:ext>
          </c:extLst>
        </c:ser>
        <c:ser>
          <c:idx val="4"/>
          <c:order val="4"/>
          <c:tx>
            <c:strRef>
              <c:f>'NSWOS demersal seiners'!$C$97</c:f>
              <c:strCache>
                <c:ptCount val="1"/>
                <c:pt idx="0">
                  <c:v>Hake</c:v>
                </c:pt>
              </c:strCache>
            </c:strRef>
          </c:tx>
          <c:spPr>
            <a:solidFill>
              <a:srgbClr val="E84A38"/>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seiners'!$D$97:$M$97</c:f>
              <c:numCache>
                <c:formatCode>0%</c:formatCode>
                <c:ptCount val="10"/>
                <c:pt idx="5">
                  <c:v>9.0871244730008238E-2</c:v>
                </c:pt>
                <c:pt idx="6">
                  <c:v>9.8433443113024502E-2</c:v>
                </c:pt>
                <c:pt idx="8">
                  <c:v>6.887668272467988E-2</c:v>
                </c:pt>
              </c:numCache>
            </c:numRef>
          </c:val>
          <c:extLst>
            <c:ext xmlns:c16="http://schemas.microsoft.com/office/drawing/2014/chart" uri="{C3380CC4-5D6E-409C-BE32-E72D297353CC}">
              <c16:uniqueId val="{00000004-C339-4045-8EA9-98874F3EA7B5}"/>
            </c:ext>
          </c:extLst>
        </c:ser>
        <c:ser>
          <c:idx val="5"/>
          <c:order val="5"/>
          <c:tx>
            <c:strRef>
              <c:f>'NSWOS demersal seiners'!$C$98</c:f>
              <c:strCache>
                <c:ptCount val="1"/>
                <c:pt idx="0">
                  <c:v>Squid</c:v>
                </c:pt>
              </c:strCache>
            </c:strRef>
          </c:tx>
          <c:spPr>
            <a:solidFill>
              <a:srgbClr val="0F9AA9"/>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seiners'!$D$98:$M$98</c:f>
              <c:numCache>
                <c:formatCode>0%</c:formatCode>
                <c:ptCount val="10"/>
                <c:pt idx="1">
                  <c:v>6.2816203319949748E-2</c:v>
                </c:pt>
                <c:pt idx="2">
                  <c:v>3.3581266061603665E-2</c:v>
                </c:pt>
                <c:pt idx="4">
                  <c:v>7.1811544896830712E-2</c:v>
                </c:pt>
                <c:pt idx="9">
                  <c:v>0.18490317573086162</c:v>
                </c:pt>
              </c:numCache>
            </c:numRef>
          </c:val>
          <c:extLst>
            <c:ext xmlns:c16="http://schemas.microsoft.com/office/drawing/2014/chart" uri="{C3380CC4-5D6E-409C-BE32-E72D297353CC}">
              <c16:uniqueId val="{00000005-C339-4045-8EA9-98874F3EA7B5}"/>
            </c:ext>
          </c:extLst>
        </c:ser>
        <c:ser>
          <c:idx val="6"/>
          <c:order val="6"/>
          <c:tx>
            <c:strRef>
              <c:f>'NSWOS demersal seiners'!$C$99</c:f>
              <c:strCache>
                <c:ptCount val="1"/>
                <c:pt idx="0">
                  <c:v>Squid</c:v>
                </c:pt>
              </c:strCache>
            </c:strRef>
          </c:tx>
          <c:spPr>
            <a:solidFill>
              <a:srgbClr val="FED825"/>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seiners'!$D$99:$M$99</c:f>
              <c:numCache>
                <c:formatCode>0%</c:formatCode>
                <c:ptCount val="10"/>
                <c:pt idx="0">
                  <c:v>3.6310815532958944E-2</c:v>
                </c:pt>
                <c:pt idx="7">
                  <c:v>8.7671083446095824E-2</c:v>
                </c:pt>
              </c:numCache>
            </c:numRef>
          </c:val>
          <c:extLst>
            <c:ext xmlns:c16="http://schemas.microsoft.com/office/drawing/2014/chart" uri="{C3380CC4-5D6E-409C-BE32-E72D297353CC}">
              <c16:uniqueId val="{00000006-C339-4045-8EA9-98874F3EA7B5}"/>
            </c:ext>
          </c:extLst>
        </c:ser>
        <c:ser>
          <c:idx val="7"/>
          <c:order val="7"/>
          <c:tx>
            <c:strRef>
              <c:f>'NSWOS demersal seiners'!$C$100</c:f>
              <c:strCache>
                <c:ptCount val="1"/>
                <c:pt idx="0">
                  <c:v>Anglerfish</c:v>
                </c:pt>
              </c:strCache>
            </c:strRef>
          </c:tx>
          <c:spPr>
            <a:solidFill>
              <a:srgbClr val="707271"/>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seiners'!$D$100:$M$100</c:f>
              <c:numCache>
                <c:formatCode>0%</c:formatCode>
                <c:ptCount val="10"/>
                <c:pt idx="3">
                  <c:v>4.6557852336740937E-2</c:v>
                </c:pt>
                <c:pt idx="5">
                  <c:v>3.9365104364128045E-2</c:v>
                </c:pt>
              </c:numCache>
            </c:numRef>
          </c:val>
          <c:extLst>
            <c:ext xmlns:c16="http://schemas.microsoft.com/office/drawing/2014/chart" uri="{C3380CC4-5D6E-409C-BE32-E72D297353CC}">
              <c16:uniqueId val="{00000007-C339-4045-8EA9-98874F3EA7B5}"/>
            </c:ext>
          </c:extLst>
        </c:ser>
        <c:ser>
          <c:idx val="8"/>
          <c:order val="8"/>
          <c:tx>
            <c:strRef>
              <c:f>'NSWOS demersal seiners'!$C$101</c:f>
              <c:strCache>
                <c:ptCount val="1"/>
                <c:pt idx="0">
                  <c:v>Others</c:v>
                </c:pt>
              </c:strCache>
            </c:strRef>
          </c:tx>
          <c:spPr>
            <a:solidFill>
              <a:srgbClr val="55585A"/>
            </a:solidFill>
            <a:ln>
              <a:solidFill>
                <a:srgbClr val="FFFFFF"/>
              </a:solidFill>
            </a:ln>
          </c:spPr>
          <c:invertIfNegative val="0"/>
          <c:cat>
            <c:numRef>
              <c:f>'NSWOS demersal seiners'!$D$92:$M$92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seiners'!$D$101:$M$101</c:f>
              <c:numCache>
                <c:formatCode>0%</c:formatCode>
                <c:ptCount val="10"/>
                <c:pt idx="0">
                  <c:v>0.20644544053300032</c:v>
                </c:pt>
                <c:pt idx="1">
                  <c:v>0.20909580188963464</c:v>
                </c:pt>
                <c:pt idx="2">
                  <c:v>0.18751753526564144</c:v>
                </c:pt>
                <c:pt idx="3">
                  <c:v>0.23997417582203512</c:v>
                </c:pt>
                <c:pt idx="4">
                  <c:v>0.25514539062593483</c:v>
                </c:pt>
                <c:pt idx="5">
                  <c:v>0.14328146126882682</c:v>
                </c:pt>
                <c:pt idx="6">
                  <c:v>0.22972596366028528</c:v>
                </c:pt>
                <c:pt idx="7">
                  <c:v>0.34443707175378269</c:v>
                </c:pt>
                <c:pt idx="8">
                  <c:v>0.31522929835931524</c:v>
                </c:pt>
                <c:pt idx="9">
                  <c:v>0.33953178502903214</c:v>
                </c:pt>
              </c:numCache>
            </c:numRef>
          </c:val>
          <c:extLst>
            <c:ext xmlns:c16="http://schemas.microsoft.com/office/drawing/2014/chart" uri="{C3380CC4-5D6E-409C-BE32-E72D297353CC}">
              <c16:uniqueId val="{00000008-C339-4045-8EA9-98874F3EA7B5}"/>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o250kW'!$A$77</c:f>
          <c:strCache>
            <c:ptCount val="1"/>
            <c:pt idx="0">
              <c:v>Top 5 landed species by volume in 2021
Area VIIA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23E-4A92-9877-BC8762CD7EC1}"/>
              </c:ext>
            </c:extLst>
          </c:dPt>
          <c:dPt>
            <c:idx val="1"/>
            <c:bubble3D val="0"/>
            <c:spPr>
              <a:solidFill>
                <a:srgbClr val="648C2E"/>
              </a:solidFill>
              <a:ln>
                <a:solidFill>
                  <a:srgbClr val="FFFFFF"/>
                </a:solidFill>
              </a:ln>
            </c:spPr>
            <c:extLst>
              <c:ext xmlns:c16="http://schemas.microsoft.com/office/drawing/2014/chart" uri="{C3380CC4-5D6E-409C-BE32-E72D297353CC}">
                <c16:uniqueId val="{00000003-023E-4A92-9877-BC8762CD7EC1}"/>
              </c:ext>
            </c:extLst>
          </c:dPt>
          <c:dPt>
            <c:idx val="2"/>
            <c:bubble3D val="0"/>
            <c:spPr>
              <a:solidFill>
                <a:srgbClr val="E87308"/>
              </a:solidFill>
              <a:ln>
                <a:solidFill>
                  <a:srgbClr val="FFFFFF"/>
                </a:solidFill>
              </a:ln>
            </c:spPr>
            <c:extLst>
              <c:ext xmlns:c16="http://schemas.microsoft.com/office/drawing/2014/chart" uri="{C3380CC4-5D6E-409C-BE32-E72D297353CC}">
                <c16:uniqueId val="{00000005-023E-4A92-9877-BC8762CD7EC1}"/>
              </c:ext>
            </c:extLst>
          </c:dPt>
          <c:dPt>
            <c:idx val="3"/>
            <c:bubble3D val="0"/>
            <c:spPr>
              <a:solidFill>
                <a:srgbClr val="E84A38"/>
              </a:solidFill>
              <a:ln>
                <a:solidFill>
                  <a:srgbClr val="FFFFFF"/>
                </a:solidFill>
              </a:ln>
            </c:spPr>
            <c:extLst>
              <c:ext xmlns:c16="http://schemas.microsoft.com/office/drawing/2014/chart" uri="{C3380CC4-5D6E-409C-BE32-E72D297353CC}">
                <c16:uniqueId val="{00000007-023E-4A92-9877-BC8762CD7EC1}"/>
              </c:ext>
            </c:extLst>
          </c:dPt>
          <c:dPt>
            <c:idx val="4"/>
            <c:bubble3D val="0"/>
            <c:spPr>
              <a:solidFill>
                <a:srgbClr val="0F9AA9"/>
              </a:solidFill>
              <a:ln>
                <a:solidFill>
                  <a:srgbClr val="FFFFFF"/>
                </a:solidFill>
              </a:ln>
            </c:spPr>
            <c:extLst>
              <c:ext xmlns:c16="http://schemas.microsoft.com/office/drawing/2014/chart" uri="{C3380CC4-5D6E-409C-BE32-E72D297353CC}">
                <c16:uniqueId val="{00000009-023E-4A92-9877-BC8762CD7EC1}"/>
              </c:ext>
            </c:extLst>
          </c:dPt>
          <c:dPt>
            <c:idx val="5"/>
            <c:bubble3D val="0"/>
            <c:spPr>
              <a:solidFill>
                <a:srgbClr val="55585A"/>
              </a:solidFill>
              <a:ln>
                <a:solidFill>
                  <a:srgbClr val="FFFFFF"/>
                </a:solidFill>
              </a:ln>
            </c:spPr>
            <c:extLst>
              <c:ext xmlns:c16="http://schemas.microsoft.com/office/drawing/2014/chart" uri="{C3380CC4-5D6E-409C-BE32-E72D297353CC}">
                <c16:uniqueId val="{0000000B-023E-4A92-9877-BC8762CD7EC1}"/>
              </c:ext>
            </c:extLst>
          </c:dPt>
          <c:cat>
            <c:strRef>
              <c:f>'Area VIIa nephrops o250kW'!$B$78:$B$83</c:f>
              <c:strCache>
                <c:ptCount val="6"/>
                <c:pt idx="0">
                  <c:v>Nephrops - 85.0%</c:v>
                </c:pt>
                <c:pt idx="1">
                  <c:v>Les. Spot. Dog - 8.1%</c:v>
                </c:pt>
                <c:pt idx="2">
                  <c:v>Anglerfish - 2.3%</c:v>
                </c:pt>
                <c:pt idx="3">
                  <c:v>Haddock - 1.5%</c:v>
                </c:pt>
                <c:pt idx="4">
                  <c:v>Thornback Ray - 1.1%</c:v>
                </c:pt>
                <c:pt idx="5">
                  <c:v>Others - 2.1%</c:v>
                </c:pt>
              </c:strCache>
            </c:strRef>
          </c:cat>
          <c:val>
            <c:numRef>
              <c:f>'Area VIIa nephrops o250kW'!$C$78:$C$83</c:f>
              <c:numCache>
                <c:formatCode>0.0%</c:formatCode>
                <c:ptCount val="6"/>
                <c:pt idx="0">
                  <c:v>0.84979542254344997</c:v>
                </c:pt>
                <c:pt idx="1">
                  <c:v>8.0996296720355063E-2</c:v>
                </c:pt>
                <c:pt idx="2">
                  <c:v>2.2989872941231976E-2</c:v>
                </c:pt>
                <c:pt idx="3">
                  <c:v>1.4884028224477874E-2</c:v>
                </c:pt>
                <c:pt idx="4">
                  <c:v>1.0724760877203279E-2</c:v>
                </c:pt>
                <c:pt idx="5">
                  <c:v>2.0609618693281817E-2</c:v>
                </c:pt>
              </c:numCache>
            </c:numRef>
          </c:val>
          <c:extLst>
            <c:ext xmlns:c16="http://schemas.microsoft.com/office/drawing/2014/chart" uri="{C3380CC4-5D6E-409C-BE32-E72D297353CC}">
              <c16:uniqueId val="{0000000C-023E-4A92-9877-BC8762CD7EC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seiners'!$B$163</c:f>
              <c:strCache>
                <c:ptCount val="1"/>
                <c:pt idx="0">
                  <c:v>Haddock</c:v>
                </c:pt>
              </c:strCache>
            </c:strRef>
          </c:tx>
          <c:spPr>
            <a:solidFill>
              <a:srgbClr val="E87308"/>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seiners'!$C$163:$E$163</c:f>
              <c:numCache>
                <c:formatCode>0%</c:formatCode>
                <c:ptCount val="3"/>
                <c:pt idx="0">
                  <c:v>0.24398124451382341</c:v>
                </c:pt>
                <c:pt idx="1">
                  <c:v>0.23688339261014682</c:v>
                </c:pt>
                <c:pt idx="2">
                  <c:v>0</c:v>
                </c:pt>
              </c:numCache>
            </c:numRef>
          </c:val>
          <c:extLst>
            <c:ext xmlns:c16="http://schemas.microsoft.com/office/drawing/2014/chart" uri="{C3380CC4-5D6E-409C-BE32-E72D297353CC}">
              <c16:uniqueId val="{00000000-251A-4816-85BA-790F01D45795}"/>
            </c:ext>
          </c:extLst>
        </c:ser>
        <c:ser>
          <c:idx val="1"/>
          <c:order val="1"/>
          <c:tx>
            <c:strRef>
              <c:f>'NSWOS demersal seiners'!$B$164</c:f>
              <c:strCache>
                <c:ptCount val="1"/>
                <c:pt idx="0">
                  <c:v>Whiting</c:v>
                </c:pt>
              </c:strCache>
            </c:strRef>
          </c:tx>
          <c:spPr>
            <a:solidFill>
              <a:srgbClr val="2273B9"/>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seiners'!$C$164:$E$164</c:f>
              <c:numCache>
                <c:formatCode>0%</c:formatCode>
                <c:ptCount val="3"/>
                <c:pt idx="0">
                  <c:v>0.32496575120377424</c:v>
                </c:pt>
                <c:pt idx="1">
                  <c:v>0.21655140533568326</c:v>
                </c:pt>
                <c:pt idx="2">
                  <c:v>0.13418994710766222</c:v>
                </c:pt>
              </c:numCache>
            </c:numRef>
          </c:val>
          <c:extLst>
            <c:ext xmlns:c16="http://schemas.microsoft.com/office/drawing/2014/chart" uri="{C3380CC4-5D6E-409C-BE32-E72D297353CC}">
              <c16:uniqueId val="{00000001-251A-4816-85BA-790F01D45795}"/>
            </c:ext>
          </c:extLst>
        </c:ser>
        <c:ser>
          <c:idx val="2"/>
          <c:order val="2"/>
          <c:tx>
            <c:strRef>
              <c:f>'NSWOS demersal seiners'!$B$165</c:f>
              <c:strCache>
                <c:ptCount val="1"/>
                <c:pt idx="0">
                  <c:v>Plaice</c:v>
                </c:pt>
              </c:strCache>
            </c:strRef>
          </c:tx>
          <c:spPr>
            <a:solidFill>
              <a:srgbClr val="C1D119"/>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seiners'!$C$165:$E$165</c:f>
              <c:numCache>
                <c:formatCode>0%</c:formatCode>
                <c:ptCount val="3"/>
                <c:pt idx="0">
                  <c:v>0</c:v>
                </c:pt>
                <c:pt idx="1">
                  <c:v>0.17235846269411045</c:v>
                </c:pt>
                <c:pt idx="2">
                  <c:v>0.31542138429109712</c:v>
                </c:pt>
              </c:numCache>
            </c:numRef>
          </c:val>
          <c:extLst>
            <c:ext xmlns:c16="http://schemas.microsoft.com/office/drawing/2014/chart" uri="{C3380CC4-5D6E-409C-BE32-E72D297353CC}">
              <c16:uniqueId val="{00000002-251A-4816-85BA-790F01D45795}"/>
            </c:ext>
          </c:extLst>
        </c:ser>
        <c:ser>
          <c:idx val="3"/>
          <c:order val="3"/>
          <c:tx>
            <c:strRef>
              <c:f>'NSWOS demersal seiners'!$B$166</c:f>
              <c:strCache>
                <c:ptCount val="1"/>
                <c:pt idx="0">
                  <c:v>Mackerel</c:v>
                </c:pt>
              </c:strCache>
            </c:strRef>
          </c:tx>
          <c:spPr>
            <a:solidFill>
              <a:srgbClr val="0F9AA9"/>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seiners'!$C$166:$E$166</c:f>
              <c:numCache>
                <c:formatCode>0%</c:formatCode>
                <c:ptCount val="3"/>
                <c:pt idx="0">
                  <c:v>0</c:v>
                </c:pt>
                <c:pt idx="1">
                  <c:v>4.4927047674934606E-2</c:v>
                </c:pt>
                <c:pt idx="2">
                  <c:v>0</c:v>
                </c:pt>
              </c:numCache>
            </c:numRef>
          </c:val>
          <c:extLst>
            <c:ext xmlns:c16="http://schemas.microsoft.com/office/drawing/2014/chart" uri="{C3380CC4-5D6E-409C-BE32-E72D297353CC}">
              <c16:uniqueId val="{00000003-251A-4816-85BA-790F01D45795}"/>
            </c:ext>
          </c:extLst>
        </c:ser>
        <c:ser>
          <c:idx val="4"/>
          <c:order val="4"/>
          <c:tx>
            <c:strRef>
              <c:f>'NSWOS demersal seiners'!$B$167</c:f>
              <c:strCache>
                <c:ptCount val="1"/>
                <c:pt idx="0">
                  <c:v>Squid</c:v>
                </c:pt>
              </c:strCache>
            </c:strRef>
          </c:tx>
          <c:spPr>
            <a:solidFill>
              <a:srgbClr val="FED825"/>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seiners'!$C$167:$E$167</c:f>
              <c:numCache>
                <c:formatCode>0%</c:formatCode>
                <c:ptCount val="3"/>
                <c:pt idx="0">
                  <c:v>0</c:v>
                </c:pt>
                <c:pt idx="1">
                  <c:v>0</c:v>
                </c:pt>
                <c:pt idx="2">
                  <c:v>0.10867178873774748</c:v>
                </c:pt>
              </c:numCache>
            </c:numRef>
          </c:val>
          <c:extLst>
            <c:ext xmlns:c16="http://schemas.microsoft.com/office/drawing/2014/chart" uri="{C3380CC4-5D6E-409C-BE32-E72D297353CC}">
              <c16:uniqueId val="{00000004-251A-4816-85BA-790F01D45795}"/>
            </c:ext>
          </c:extLst>
        </c:ser>
        <c:ser>
          <c:idx val="5"/>
          <c:order val="5"/>
          <c:tx>
            <c:strRef>
              <c:f>'NSWOS demersal seiners'!$B$168</c:f>
              <c:strCache>
                <c:ptCount val="1"/>
                <c:pt idx="0">
                  <c:v>Tub Gurnard</c:v>
                </c:pt>
              </c:strCache>
            </c:strRef>
          </c:tx>
          <c:spPr>
            <a:solidFill>
              <a:srgbClr val="707271"/>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seiners'!$C$168:$E$168</c:f>
              <c:numCache>
                <c:formatCode>0%</c:formatCode>
                <c:ptCount val="3"/>
                <c:pt idx="0">
                  <c:v>0</c:v>
                </c:pt>
                <c:pt idx="1">
                  <c:v>0</c:v>
                </c:pt>
                <c:pt idx="2">
                  <c:v>5.7026536955526994E-2</c:v>
                </c:pt>
              </c:numCache>
            </c:numRef>
          </c:val>
          <c:extLst>
            <c:ext xmlns:c16="http://schemas.microsoft.com/office/drawing/2014/chart" uri="{C3380CC4-5D6E-409C-BE32-E72D297353CC}">
              <c16:uniqueId val="{00000005-251A-4816-85BA-790F01D45795}"/>
            </c:ext>
          </c:extLst>
        </c:ser>
        <c:ser>
          <c:idx val="6"/>
          <c:order val="6"/>
          <c:tx>
            <c:strRef>
              <c:f>'NSWOS demersal seiners'!$B$169</c:f>
              <c:strCache>
                <c:ptCount val="1"/>
                <c:pt idx="0">
                  <c:v>Cod</c:v>
                </c:pt>
              </c:strCache>
            </c:strRef>
          </c:tx>
          <c:spPr>
            <a:solidFill>
              <a:srgbClr val="648C2E"/>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seiners'!$C$169:$E$169</c:f>
              <c:numCache>
                <c:formatCode>0%</c:formatCode>
                <c:ptCount val="3"/>
                <c:pt idx="0">
                  <c:v>0.13671001952441941</c:v>
                </c:pt>
                <c:pt idx="1">
                  <c:v>0</c:v>
                </c:pt>
                <c:pt idx="2">
                  <c:v>0</c:v>
                </c:pt>
              </c:numCache>
            </c:numRef>
          </c:val>
          <c:extLst>
            <c:ext xmlns:c16="http://schemas.microsoft.com/office/drawing/2014/chart" uri="{C3380CC4-5D6E-409C-BE32-E72D297353CC}">
              <c16:uniqueId val="{00000006-251A-4816-85BA-790F01D45795}"/>
            </c:ext>
          </c:extLst>
        </c:ser>
        <c:ser>
          <c:idx val="7"/>
          <c:order val="7"/>
          <c:tx>
            <c:strRef>
              <c:f>'NSWOS demersal seiners'!$B$170</c:f>
              <c:strCache>
                <c:ptCount val="1"/>
                <c:pt idx="0">
                  <c:v>Hake</c:v>
                </c:pt>
              </c:strCache>
            </c:strRef>
          </c:tx>
          <c:spPr>
            <a:solidFill>
              <a:srgbClr val="E84A38"/>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seiners'!$C$170:$E$170</c:f>
              <c:numCache>
                <c:formatCode>0%</c:formatCode>
                <c:ptCount val="3"/>
                <c:pt idx="0">
                  <c:v>0.10559548755463016</c:v>
                </c:pt>
                <c:pt idx="1">
                  <c:v>0</c:v>
                </c:pt>
                <c:pt idx="2">
                  <c:v>0</c:v>
                </c:pt>
              </c:numCache>
            </c:numRef>
          </c:val>
          <c:extLst>
            <c:ext xmlns:c16="http://schemas.microsoft.com/office/drawing/2014/chart" uri="{C3380CC4-5D6E-409C-BE32-E72D297353CC}">
              <c16:uniqueId val="{00000007-251A-4816-85BA-790F01D45795}"/>
            </c:ext>
          </c:extLst>
        </c:ser>
        <c:ser>
          <c:idx val="8"/>
          <c:order val="8"/>
          <c:tx>
            <c:strRef>
              <c:f>'NSWOS demersal seiners'!$B$171</c:f>
              <c:strCache>
                <c:ptCount val="1"/>
                <c:pt idx="0">
                  <c:v>Saithe</c:v>
                </c:pt>
              </c:strCache>
            </c:strRef>
          </c:tx>
          <c:spPr>
            <a:solidFill>
              <a:srgbClr val="51AA81"/>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seiners'!$C$171:$E$171</c:f>
              <c:numCache>
                <c:formatCode>0%</c:formatCode>
                <c:ptCount val="3"/>
                <c:pt idx="0">
                  <c:v>7.0802510381756834E-2</c:v>
                </c:pt>
                <c:pt idx="1">
                  <c:v>0</c:v>
                </c:pt>
                <c:pt idx="2">
                  <c:v>0</c:v>
                </c:pt>
              </c:numCache>
            </c:numRef>
          </c:val>
          <c:extLst>
            <c:ext xmlns:c16="http://schemas.microsoft.com/office/drawing/2014/chart" uri="{C3380CC4-5D6E-409C-BE32-E72D297353CC}">
              <c16:uniqueId val="{00000008-251A-4816-85BA-790F01D45795}"/>
            </c:ext>
          </c:extLst>
        </c:ser>
        <c:ser>
          <c:idx val="9"/>
          <c:order val="9"/>
          <c:tx>
            <c:strRef>
              <c:f>'NSWOS demersal seiners'!$B$172</c:f>
              <c:strCache>
                <c:ptCount val="1"/>
                <c:pt idx="0">
                  <c:v>Others</c:v>
                </c:pt>
              </c:strCache>
            </c:strRef>
          </c:tx>
          <c:spPr>
            <a:solidFill>
              <a:srgbClr val="55585A"/>
            </a:solidFill>
            <a:ln>
              <a:solidFill>
                <a:srgbClr val="FFFFFF"/>
              </a:solidFill>
            </a:ln>
          </c:spPr>
          <c:invertIfNegative val="0"/>
          <c:cat>
            <c:strRef>
              <c:f>'NSWOS demersal seiners'!$C$162:$E$162</c:f>
              <c:strCache>
                <c:ptCount val="3"/>
                <c:pt idx="0">
                  <c:v>Most
profitable
quartile</c:v>
                </c:pt>
                <c:pt idx="1">
                  <c:v>Middle 
two quartiles</c:v>
                </c:pt>
                <c:pt idx="2">
                  <c:v>Least
profitable
quartile</c:v>
                </c:pt>
              </c:strCache>
            </c:strRef>
          </c:cat>
          <c:val>
            <c:numRef>
              <c:f>'NSWOS demersal seiners'!$C$172:$E$172</c:f>
              <c:numCache>
                <c:formatCode>0%</c:formatCode>
                <c:ptCount val="3"/>
                <c:pt idx="0">
                  <c:v>0.11794498682159582</c:v>
                </c:pt>
                <c:pt idx="1">
                  <c:v>0.2465095313594925</c:v>
                </c:pt>
                <c:pt idx="2">
                  <c:v>0.28739982119232999</c:v>
                </c:pt>
              </c:numCache>
            </c:numRef>
          </c:val>
          <c:extLst>
            <c:ext xmlns:c16="http://schemas.microsoft.com/office/drawing/2014/chart" uri="{C3380CC4-5D6E-409C-BE32-E72D297353CC}">
              <c16:uniqueId val="{00000009-251A-4816-85BA-790F01D45795}"/>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seiners'!$H$163</c:f>
              <c:strCache>
                <c:ptCount val="1"/>
                <c:pt idx="0">
                  <c:v>Haddock</c:v>
                </c:pt>
              </c:strCache>
            </c:strRef>
          </c:tx>
          <c:spPr>
            <a:solidFill>
              <a:srgbClr val="E87308"/>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seiners'!$I$163:$K$163</c:f>
              <c:numCache>
                <c:formatCode>0%</c:formatCode>
                <c:ptCount val="3"/>
                <c:pt idx="0">
                  <c:v>0.18941026031130823</c:v>
                </c:pt>
                <c:pt idx="1">
                  <c:v>0.20802513313810123</c:v>
                </c:pt>
                <c:pt idx="2">
                  <c:v>0</c:v>
                </c:pt>
              </c:numCache>
            </c:numRef>
          </c:val>
          <c:extLst>
            <c:ext xmlns:c16="http://schemas.microsoft.com/office/drawing/2014/chart" uri="{C3380CC4-5D6E-409C-BE32-E72D297353CC}">
              <c16:uniqueId val="{00000000-A532-4725-809D-18D4C4337629}"/>
            </c:ext>
          </c:extLst>
        </c:ser>
        <c:ser>
          <c:idx val="1"/>
          <c:order val="1"/>
          <c:tx>
            <c:strRef>
              <c:f>'NSWOS demersal seiners'!$H$164</c:f>
              <c:strCache>
                <c:ptCount val="1"/>
                <c:pt idx="0">
                  <c:v>Whiting</c:v>
                </c:pt>
              </c:strCache>
            </c:strRef>
          </c:tx>
          <c:spPr>
            <a:solidFill>
              <a:srgbClr val="2273B9"/>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seiners'!$I$164:$K$164</c:f>
              <c:numCache>
                <c:formatCode>0%</c:formatCode>
                <c:ptCount val="3"/>
                <c:pt idx="0">
                  <c:v>0.25505103533885543</c:v>
                </c:pt>
                <c:pt idx="1">
                  <c:v>0.20100716483957506</c:v>
                </c:pt>
                <c:pt idx="2">
                  <c:v>9.9245354296613617E-2</c:v>
                </c:pt>
              </c:numCache>
            </c:numRef>
          </c:val>
          <c:extLst>
            <c:ext xmlns:c16="http://schemas.microsoft.com/office/drawing/2014/chart" uri="{C3380CC4-5D6E-409C-BE32-E72D297353CC}">
              <c16:uniqueId val="{00000001-A532-4725-809D-18D4C4337629}"/>
            </c:ext>
          </c:extLst>
        </c:ser>
        <c:ser>
          <c:idx val="2"/>
          <c:order val="2"/>
          <c:tx>
            <c:strRef>
              <c:f>'NSWOS demersal seiners'!$H$165</c:f>
              <c:strCache>
                <c:ptCount val="1"/>
                <c:pt idx="0">
                  <c:v>Plaice</c:v>
                </c:pt>
              </c:strCache>
            </c:strRef>
          </c:tx>
          <c:spPr>
            <a:solidFill>
              <a:srgbClr val="C1D119"/>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seiners'!$I$165:$K$165</c:f>
              <c:numCache>
                <c:formatCode>0%</c:formatCode>
                <c:ptCount val="3"/>
                <c:pt idx="0">
                  <c:v>0</c:v>
                </c:pt>
                <c:pt idx="1">
                  <c:v>0.11168893828876357</c:v>
                </c:pt>
                <c:pt idx="2">
                  <c:v>0.26417787606703136</c:v>
                </c:pt>
              </c:numCache>
            </c:numRef>
          </c:val>
          <c:extLst>
            <c:ext xmlns:c16="http://schemas.microsoft.com/office/drawing/2014/chart" uri="{C3380CC4-5D6E-409C-BE32-E72D297353CC}">
              <c16:uniqueId val="{00000002-A532-4725-809D-18D4C4337629}"/>
            </c:ext>
          </c:extLst>
        </c:ser>
        <c:ser>
          <c:idx val="3"/>
          <c:order val="3"/>
          <c:tx>
            <c:strRef>
              <c:f>'NSWOS demersal seiners'!$H$166</c:f>
              <c:strCache>
                <c:ptCount val="1"/>
                <c:pt idx="0">
                  <c:v>Cod</c:v>
                </c:pt>
              </c:strCache>
            </c:strRef>
          </c:tx>
          <c:spPr>
            <a:solidFill>
              <a:srgbClr val="648C2E"/>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seiners'!$I$166:$K$166</c:f>
              <c:numCache>
                <c:formatCode>0%</c:formatCode>
                <c:ptCount val="3"/>
                <c:pt idx="0">
                  <c:v>0.24110396993777233</c:v>
                </c:pt>
                <c:pt idx="1">
                  <c:v>0.10783704763556017</c:v>
                </c:pt>
                <c:pt idx="2">
                  <c:v>0</c:v>
                </c:pt>
              </c:numCache>
            </c:numRef>
          </c:val>
          <c:extLst>
            <c:ext xmlns:c16="http://schemas.microsoft.com/office/drawing/2014/chart" uri="{C3380CC4-5D6E-409C-BE32-E72D297353CC}">
              <c16:uniqueId val="{00000003-A532-4725-809D-18D4C4337629}"/>
            </c:ext>
          </c:extLst>
        </c:ser>
        <c:ser>
          <c:idx val="4"/>
          <c:order val="4"/>
          <c:tx>
            <c:strRef>
              <c:f>'NSWOS demersal seiners'!$H$167</c:f>
              <c:strCache>
                <c:ptCount val="1"/>
                <c:pt idx="0">
                  <c:v>Squid</c:v>
                </c:pt>
              </c:strCache>
            </c:strRef>
          </c:tx>
          <c:spPr>
            <a:solidFill>
              <a:srgbClr val="FED825"/>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seiners'!$I$167:$K$167</c:f>
              <c:numCache>
                <c:formatCode>0%</c:formatCode>
                <c:ptCount val="3"/>
                <c:pt idx="0">
                  <c:v>0</c:v>
                </c:pt>
                <c:pt idx="1">
                  <c:v>0</c:v>
                </c:pt>
                <c:pt idx="2">
                  <c:v>0.1949222822179057</c:v>
                </c:pt>
              </c:numCache>
            </c:numRef>
          </c:val>
          <c:extLst>
            <c:ext xmlns:c16="http://schemas.microsoft.com/office/drawing/2014/chart" uri="{C3380CC4-5D6E-409C-BE32-E72D297353CC}">
              <c16:uniqueId val="{00000004-A532-4725-809D-18D4C4337629}"/>
            </c:ext>
          </c:extLst>
        </c:ser>
        <c:ser>
          <c:idx val="5"/>
          <c:order val="5"/>
          <c:tx>
            <c:strRef>
              <c:f>'NSWOS demersal seiners'!$H$168</c:f>
              <c:strCache>
                <c:ptCount val="1"/>
                <c:pt idx="0">
                  <c:v>Mackerel</c:v>
                </c:pt>
              </c:strCache>
            </c:strRef>
          </c:tx>
          <c:spPr>
            <a:solidFill>
              <a:srgbClr val="0F9AA9"/>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seiners'!$I$168:$K$168</c:f>
              <c:numCache>
                <c:formatCode>0%</c:formatCode>
                <c:ptCount val="3"/>
                <c:pt idx="0">
                  <c:v>0</c:v>
                </c:pt>
                <c:pt idx="1">
                  <c:v>0</c:v>
                </c:pt>
                <c:pt idx="2">
                  <c:v>6.0111785478712945E-2</c:v>
                </c:pt>
              </c:numCache>
            </c:numRef>
          </c:val>
          <c:extLst>
            <c:ext xmlns:c16="http://schemas.microsoft.com/office/drawing/2014/chart" uri="{C3380CC4-5D6E-409C-BE32-E72D297353CC}">
              <c16:uniqueId val="{00000005-A532-4725-809D-18D4C4337629}"/>
            </c:ext>
          </c:extLst>
        </c:ser>
        <c:ser>
          <c:idx val="6"/>
          <c:order val="6"/>
          <c:tx>
            <c:strRef>
              <c:f>'NSWOS demersal seiners'!$H$169</c:f>
              <c:strCache>
                <c:ptCount val="1"/>
                <c:pt idx="0">
                  <c:v>Hake</c:v>
                </c:pt>
              </c:strCache>
            </c:strRef>
          </c:tx>
          <c:spPr>
            <a:solidFill>
              <a:srgbClr val="E84A38"/>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seiners'!$I$169:$K$169</c:f>
              <c:numCache>
                <c:formatCode>0%</c:formatCode>
                <c:ptCount val="3"/>
                <c:pt idx="0">
                  <c:v>0.13631988272453255</c:v>
                </c:pt>
                <c:pt idx="1">
                  <c:v>0</c:v>
                </c:pt>
                <c:pt idx="2">
                  <c:v>0</c:v>
                </c:pt>
              </c:numCache>
            </c:numRef>
          </c:val>
          <c:extLst>
            <c:ext xmlns:c16="http://schemas.microsoft.com/office/drawing/2014/chart" uri="{C3380CC4-5D6E-409C-BE32-E72D297353CC}">
              <c16:uniqueId val="{00000006-A532-4725-809D-18D4C4337629}"/>
            </c:ext>
          </c:extLst>
        </c:ser>
        <c:ser>
          <c:idx val="7"/>
          <c:order val="7"/>
          <c:tx>
            <c:strRef>
              <c:f>'NSWOS demersal seiners'!$H$170</c:f>
              <c:strCache>
                <c:ptCount val="1"/>
                <c:pt idx="0">
                  <c:v>Megrim</c:v>
                </c:pt>
              </c:strCache>
            </c:strRef>
          </c:tx>
          <c:spPr>
            <a:solidFill>
              <a:srgbClr val="169FDB"/>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seiners'!$I$170:$K$170</c:f>
              <c:numCache>
                <c:formatCode>0%</c:formatCode>
                <c:ptCount val="3"/>
                <c:pt idx="0">
                  <c:v>3.6058498746437143E-2</c:v>
                </c:pt>
                <c:pt idx="1">
                  <c:v>0</c:v>
                </c:pt>
                <c:pt idx="2">
                  <c:v>0</c:v>
                </c:pt>
              </c:numCache>
            </c:numRef>
          </c:val>
          <c:extLst>
            <c:ext xmlns:c16="http://schemas.microsoft.com/office/drawing/2014/chart" uri="{C3380CC4-5D6E-409C-BE32-E72D297353CC}">
              <c16:uniqueId val="{00000007-A532-4725-809D-18D4C4337629}"/>
            </c:ext>
          </c:extLst>
        </c:ser>
        <c:ser>
          <c:idx val="8"/>
          <c:order val="8"/>
          <c:tx>
            <c:strRef>
              <c:f>'NSWOS demersal seiners'!$H$171</c:f>
              <c:strCache>
                <c:ptCount val="1"/>
                <c:pt idx="0">
                  <c:v>Others</c:v>
                </c:pt>
              </c:strCache>
            </c:strRef>
          </c:tx>
          <c:spPr>
            <a:solidFill>
              <a:srgbClr val="55585A"/>
            </a:solidFill>
            <a:ln>
              <a:solidFill>
                <a:srgbClr val="FFFFFF"/>
              </a:solidFill>
            </a:ln>
          </c:spPr>
          <c:invertIfNegative val="0"/>
          <c:cat>
            <c:strRef>
              <c:f>'NSWOS demersal seiners'!$I$162:$K$162</c:f>
              <c:strCache>
                <c:ptCount val="3"/>
                <c:pt idx="0">
                  <c:v>Most
profitable
quartile</c:v>
                </c:pt>
                <c:pt idx="1">
                  <c:v>Middle 
two quartiles</c:v>
                </c:pt>
                <c:pt idx="2">
                  <c:v>Least
profitable
quartile</c:v>
                </c:pt>
              </c:strCache>
            </c:strRef>
          </c:cat>
          <c:val>
            <c:numRef>
              <c:f>'NSWOS demersal seiners'!$I$171:$K$171</c:f>
              <c:numCache>
                <c:formatCode>0%</c:formatCode>
                <c:ptCount val="3"/>
                <c:pt idx="0">
                  <c:v>0.14205635294109431</c:v>
                </c:pt>
                <c:pt idx="1">
                  <c:v>0.26776676240579478</c:v>
                </c:pt>
                <c:pt idx="2">
                  <c:v>0.25862225057422794</c:v>
                </c:pt>
              </c:numCache>
            </c:numRef>
          </c:val>
          <c:extLst>
            <c:ext xmlns:c16="http://schemas.microsoft.com/office/drawing/2014/chart" uri="{C3380CC4-5D6E-409C-BE32-E72D297353CC}">
              <c16:uniqueId val="{00000008-A532-4725-809D-18D4C4337629}"/>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seiners'!$K$140</c:f>
              <c:strCache>
                <c:ptCount val="1"/>
                <c:pt idx="0">
                  <c:v>Total income</c:v>
                </c:pt>
              </c:strCache>
            </c:strRef>
          </c:tx>
          <c:spPr>
            <a:solidFill>
              <a:srgbClr val="087CBB"/>
            </a:solidFill>
            <a:ln>
              <a:solidFill>
                <a:schemeClr val="accent1"/>
              </a:solidFill>
            </a:ln>
          </c:spPr>
          <c:invertIfNegative val="0"/>
          <c:cat>
            <c:strRef>
              <c:f>'NSWOS demersal seiners'!$L$139:$N$139</c:f>
              <c:strCache>
                <c:ptCount val="3"/>
                <c:pt idx="0">
                  <c:v>Most
profitable
quartile</c:v>
                </c:pt>
                <c:pt idx="1">
                  <c:v>Middle
two quartiles</c:v>
                </c:pt>
                <c:pt idx="2">
                  <c:v>Least
profitable
quartile</c:v>
                </c:pt>
              </c:strCache>
            </c:strRef>
          </c:cat>
          <c:val>
            <c:numRef>
              <c:f>'NSWOS demersal seiners'!$L$140:$N$140</c:f>
              <c:numCache>
                <c:formatCode>#,##0</c:formatCode>
                <c:ptCount val="3"/>
                <c:pt idx="0">
                  <c:v>1863.0387499999999</c:v>
                </c:pt>
                <c:pt idx="1">
                  <c:v>1008.35923863636</c:v>
                </c:pt>
                <c:pt idx="2">
                  <c:v>488.81828124999998</c:v>
                </c:pt>
              </c:numCache>
            </c:numRef>
          </c:val>
          <c:extLst>
            <c:ext xmlns:c16="http://schemas.microsoft.com/office/drawing/2014/chart" uri="{C3380CC4-5D6E-409C-BE32-E72D297353CC}">
              <c16:uniqueId val="{00000000-5E4E-483B-90D3-1A12734599B5}"/>
            </c:ext>
          </c:extLst>
        </c:ser>
        <c:ser>
          <c:idx val="1"/>
          <c:order val="1"/>
          <c:tx>
            <c:strRef>
              <c:f>'NSWOS demersal seiners'!$K$141</c:f>
              <c:strCache>
                <c:ptCount val="1"/>
                <c:pt idx="0">
                  <c:v>Operating costs</c:v>
                </c:pt>
              </c:strCache>
            </c:strRef>
          </c:tx>
          <c:spPr>
            <a:solidFill>
              <a:srgbClr val="E87308"/>
            </a:solidFill>
          </c:spPr>
          <c:invertIfNegative val="0"/>
          <c:cat>
            <c:strRef>
              <c:f>'NSWOS demersal seiners'!$L$139:$N$139</c:f>
              <c:strCache>
                <c:ptCount val="3"/>
                <c:pt idx="0">
                  <c:v>Most
profitable
quartile</c:v>
                </c:pt>
                <c:pt idx="1">
                  <c:v>Middle
two quartiles</c:v>
                </c:pt>
                <c:pt idx="2">
                  <c:v>Least
profitable
quartile</c:v>
                </c:pt>
              </c:strCache>
            </c:strRef>
          </c:cat>
          <c:val>
            <c:numRef>
              <c:f>'NSWOS demersal seiners'!$L$141:$N$141</c:f>
              <c:numCache>
                <c:formatCode>#,##0</c:formatCode>
                <c:ptCount val="3"/>
                <c:pt idx="0">
                  <c:v>1579.7255</c:v>
                </c:pt>
                <c:pt idx="1">
                  <c:v>949.30593181818199</c:v>
                </c:pt>
                <c:pt idx="2">
                  <c:v>557.8309375</c:v>
                </c:pt>
              </c:numCache>
            </c:numRef>
          </c:val>
          <c:extLst>
            <c:ext xmlns:c16="http://schemas.microsoft.com/office/drawing/2014/chart" uri="{C3380CC4-5D6E-409C-BE32-E72D297353CC}">
              <c16:uniqueId val="{00000001-5E4E-483B-90D3-1A12734599B5}"/>
            </c:ext>
          </c:extLst>
        </c:ser>
        <c:ser>
          <c:idx val="2"/>
          <c:order val="2"/>
          <c:tx>
            <c:strRef>
              <c:f>'NSWOS demersal seiners'!$K$142</c:f>
              <c:strCache>
                <c:ptCount val="1"/>
                <c:pt idx="0">
                  <c:v>Operating profit</c:v>
                </c:pt>
              </c:strCache>
            </c:strRef>
          </c:tx>
          <c:spPr>
            <a:solidFill>
              <a:srgbClr val="51AA81"/>
            </a:solidFill>
          </c:spPr>
          <c:invertIfNegative val="0"/>
          <c:cat>
            <c:strRef>
              <c:f>'NSWOS demersal seiners'!$L$139:$N$139</c:f>
              <c:strCache>
                <c:ptCount val="3"/>
                <c:pt idx="0">
                  <c:v>Most
profitable
quartile</c:v>
                </c:pt>
                <c:pt idx="1">
                  <c:v>Middle
two quartiles</c:v>
                </c:pt>
                <c:pt idx="2">
                  <c:v>Least
profitable
quartile</c:v>
                </c:pt>
              </c:strCache>
            </c:strRef>
          </c:cat>
          <c:val>
            <c:numRef>
              <c:f>'NSWOS demersal seiners'!$L$142:$N$142</c:f>
              <c:numCache>
                <c:formatCode>#,##0</c:formatCode>
                <c:ptCount val="3"/>
                <c:pt idx="0">
                  <c:v>283.31324999999998</c:v>
                </c:pt>
                <c:pt idx="1">
                  <c:v>59.053306818181902</c:v>
                </c:pt>
                <c:pt idx="2">
                  <c:v>-69.012656250000006</c:v>
                </c:pt>
              </c:numCache>
            </c:numRef>
          </c:val>
          <c:extLst>
            <c:ext xmlns:c16="http://schemas.microsoft.com/office/drawing/2014/chart" uri="{C3380CC4-5D6E-409C-BE32-E72D297353CC}">
              <c16:uniqueId val="{00000002-5E4E-483B-90D3-1A12734599B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seiners'!$K$143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o300kW'!$A$49</c:f>
          <c:strCache>
            <c:ptCount val="1"/>
            <c:pt idx="0">
              <c:v>Landings per kW day at sea (kg)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027-4CAD-953F-029860BE9A8A}"/>
              </c:ext>
            </c:extLst>
          </c:dPt>
          <c:dPt>
            <c:idx val="10"/>
            <c:bubble3D val="0"/>
            <c:spPr>
              <a:ln w="57150">
                <a:solidFill>
                  <a:srgbClr val="2273B9"/>
                </a:solidFill>
                <a:prstDash val="sysDot"/>
              </a:ln>
            </c:spPr>
            <c:extLst>
              <c:ext xmlns:c16="http://schemas.microsoft.com/office/drawing/2014/chart" uri="{C3380CC4-5D6E-409C-BE32-E72D297353CC}">
                <c16:uniqueId val="{00000003-B027-4CAD-953F-029860BE9A8A}"/>
              </c:ext>
            </c:extLst>
          </c:dPt>
          <c:cat>
            <c:numRef>
              <c:f>'NSWOS demersal u24m o300kW'!$D$2:$N$2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o300kW'!$D$22:$N$22</c:f>
              <c:numCache>
                <c:formatCode>#,##0.00</c:formatCode>
                <c:ptCount val="11"/>
                <c:pt idx="0">
                  <c:v>4.611252551815026</c:v>
                </c:pt>
                <c:pt idx="1">
                  <c:v>5.1767431474741032</c:v>
                </c:pt>
                <c:pt idx="2">
                  <c:v>5.2355570425538271</c:v>
                </c:pt>
                <c:pt idx="3">
                  <c:v>4.5100956814444384</c:v>
                </c:pt>
                <c:pt idx="4">
                  <c:v>5.2149893381212475</c:v>
                </c:pt>
                <c:pt idx="5">
                  <c:v>5.5756812618695131</c:v>
                </c:pt>
                <c:pt idx="6">
                  <c:v>4.8278857703016964</c:v>
                </c:pt>
                <c:pt idx="7">
                  <c:v>5.3426114360985526</c:v>
                </c:pt>
                <c:pt idx="8">
                  <c:v>4.6502948548783261</c:v>
                </c:pt>
                <c:pt idx="9">
                  <c:v>4.4968315536811083</c:v>
                </c:pt>
                <c:pt idx="10">
                  <c:v>4.2676268612921051</c:v>
                </c:pt>
              </c:numCache>
            </c:numRef>
          </c:val>
          <c:smooth val="0"/>
          <c:extLst>
            <c:ext xmlns:c16="http://schemas.microsoft.com/office/drawing/2014/chart" uri="{C3380CC4-5D6E-409C-BE32-E72D297353CC}">
              <c16:uniqueId val="{00000004-B027-4CAD-953F-029860BE9A8A}"/>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o300kW'!$A$50</c:f>
          <c:strCache>
            <c:ptCount val="1"/>
            <c:pt idx="0">
              <c:v>Fishing income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35F7-4757-9E3B-2503A1425998}"/>
              </c:ext>
            </c:extLst>
          </c:dPt>
          <c:dPt>
            <c:idx val="10"/>
            <c:bubble3D val="0"/>
            <c:spPr>
              <a:ln w="57150">
                <a:solidFill>
                  <a:srgbClr val="648C2E"/>
                </a:solidFill>
                <a:prstDash val="sysDot"/>
              </a:ln>
            </c:spPr>
            <c:extLst>
              <c:ext xmlns:c16="http://schemas.microsoft.com/office/drawing/2014/chart" uri="{C3380CC4-5D6E-409C-BE32-E72D297353CC}">
                <c16:uniqueId val="{00000003-35F7-4757-9E3B-2503A1425998}"/>
              </c:ext>
            </c:extLst>
          </c:dPt>
          <c:cat>
            <c:numRef>
              <c:f>'NSWOS demersal u24m o300kW'!$D$2:$N$2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o300kW'!$D$23:$N$23</c:f>
              <c:numCache>
                <c:formatCode>#,##0.00</c:formatCode>
                <c:ptCount val="11"/>
                <c:pt idx="0">
                  <c:v>10.678546018212</c:v>
                </c:pt>
                <c:pt idx="1">
                  <c:v>10.297706183108399</c:v>
                </c:pt>
                <c:pt idx="2">
                  <c:v>11.7964388480169</c:v>
                </c:pt>
                <c:pt idx="3">
                  <c:v>9.7149653792018498</c:v>
                </c:pt>
                <c:pt idx="4">
                  <c:v>12.769363406202</c:v>
                </c:pt>
                <c:pt idx="5">
                  <c:v>14.5474047596745</c:v>
                </c:pt>
                <c:pt idx="6">
                  <c:v>12.2337539047727</c:v>
                </c:pt>
                <c:pt idx="7">
                  <c:v>14.548600082995501</c:v>
                </c:pt>
                <c:pt idx="8">
                  <c:v>9.9363222963724294</c:v>
                </c:pt>
                <c:pt idx="9">
                  <c:v>10.7009734957817</c:v>
                </c:pt>
                <c:pt idx="10">
                  <c:v>11.082507206272133</c:v>
                </c:pt>
              </c:numCache>
            </c:numRef>
          </c:val>
          <c:smooth val="0"/>
          <c:extLst>
            <c:ext xmlns:c16="http://schemas.microsoft.com/office/drawing/2014/chart" uri="{C3380CC4-5D6E-409C-BE32-E72D297353CC}">
              <c16:uniqueId val="{00000004-35F7-4757-9E3B-2503A142599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o300kW'!$B$63</c:f>
          <c:strCache>
            <c:ptCount val="1"/>
            <c:pt idx="0">
              <c:v>Total cost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E545-4564-960A-B8ADF8D11C50}"/>
              </c:ext>
            </c:extLst>
          </c:dPt>
          <c:dPt>
            <c:idx val="10"/>
            <c:bubble3D val="0"/>
            <c:spPr>
              <a:ln w="57150">
                <a:solidFill>
                  <a:srgbClr val="087CBB"/>
                </a:solidFill>
                <a:prstDash val="sysDot"/>
              </a:ln>
            </c:spPr>
            <c:extLst>
              <c:ext xmlns:c16="http://schemas.microsoft.com/office/drawing/2014/chart" uri="{C3380CC4-5D6E-409C-BE32-E72D297353CC}">
                <c16:uniqueId val="{00000003-E545-4564-960A-B8ADF8D11C50}"/>
              </c:ext>
            </c:extLst>
          </c:dPt>
          <c:cat>
            <c:numRef>
              <c:f>'NSWOS demersal u24m o300kW'!$D$2:$N$2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o300kW'!$D$24:$N$24</c:f>
              <c:numCache>
                <c:formatCode>#,##0.00</c:formatCode>
                <c:ptCount val="11"/>
                <c:pt idx="0">
                  <c:v>11.028002757999801</c:v>
                </c:pt>
                <c:pt idx="1">
                  <c:v>10.2070970681592</c:v>
                </c:pt>
                <c:pt idx="2">
                  <c:v>10.5443044225006</c:v>
                </c:pt>
                <c:pt idx="3">
                  <c:v>8.9065702087994598</c:v>
                </c:pt>
                <c:pt idx="4">
                  <c:v>11.0874633319811</c:v>
                </c:pt>
                <c:pt idx="5">
                  <c:v>12.2053956587615</c:v>
                </c:pt>
                <c:pt idx="6">
                  <c:v>10.7608545620977</c:v>
                </c:pt>
                <c:pt idx="7">
                  <c:v>11.699596248047801</c:v>
                </c:pt>
                <c:pt idx="8">
                  <c:v>9.4736335930582207</c:v>
                </c:pt>
                <c:pt idx="9">
                  <c:v>9.5076555031747603</c:v>
                </c:pt>
                <c:pt idx="10">
                  <c:v>10.591155896433044</c:v>
                </c:pt>
              </c:numCache>
            </c:numRef>
          </c:val>
          <c:smooth val="0"/>
          <c:extLst>
            <c:ext xmlns:c16="http://schemas.microsoft.com/office/drawing/2014/chart" uri="{C3380CC4-5D6E-409C-BE32-E72D297353CC}">
              <c16:uniqueId val="{00000004-E545-4564-960A-B8ADF8D11C50}"/>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o300kW'!$K$49</c:f>
          <c:strCache>
            <c:ptCount val="1"/>
            <c:pt idx="0">
              <c:v>Operating profit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0AB1-4581-A3C8-B9C40D604904}"/>
              </c:ext>
            </c:extLst>
          </c:dPt>
          <c:dPt>
            <c:idx val="10"/>
            <c:bubble3D val="0"/>
            <c:spPr>
              <a:ln w="57150">
                <a:solidFill>
                  <a:schemeClr val="accent3"/>
                </a:solidFill>
                <a:prstDash val="sysDot"/>
              </a:ln>
            </c:spPr>
            <c:extLst>
              <c:ext xmlns:c16="http://schemas.microsoft.com/office/drawing/2014/chart" uri="{C3380CC4-5D6E-409C-BE32-E72D297353CC}">
                <c16:uniqueId val="{00000003-0AB1-4581-A3C8-B9C40D604904}"/>
              </c:ext>
            </c:extLst>
          </c:dPt>
          <c:cat>
            <c:numRef>
              <c:f>'NSWOS demersal u24m o300kW'!$D$2:$N$2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o300kW'!$D$25:$N$25</c:f>
              <c:numCache>
                <c:formatCode>#,##0.00</c:formatCode>
                <c:ptCount val="11"/>
                <c:pt idx="0">
                  <c:v>1.0033525024802099</c:v>
                </c:pt>
                <c:pt idx="1">
                  <c:v>1.8677449318435799</c:v>
                </c:pt>
                <c:pt idx="2">
                  <c:v>1.98749403150111</c:v>
                </c:pt>
                <c:pt idx="3">
                  <c:v>1.25517073076079</c:v>
                </c:pt>
                <c:pt idx="4">
                  <c:v>2.4064874040493001</c:v>
                </c:pt>
                <c:pt idx="5">
                  <c:v>4.5240893903003201</c:v>
                </c:pt>
                <c:pt idx="6">
                  <c:v>1.6402640401419899</c:v>
                </c:pt>
                <c:pt idx="7">
                  <c:v>3.4402138336178298</c:v>
                </c:pt>
                <c:pt idx="8">
                  <c:v>1.3723971708457501</c:v>
                </c:pt>
                <c:pt idx="9">
                  <c:v>1.9247805007121499</c:v>
                </c:pt>
                <c:pt idx="10">
                  <c:v>1.2488934151983511</c:v>
                </c:pt>
              </c:numCache>
            </c:numRef>
          </c:val>
          <c:smooth val="0"/>
          <c:extLst>
            <c:ext xmlns:c16="http://schemas.microsoft.com/office/drawing/2014/chart" uri="{C3380CC4-5D6E-409C-BE32-E72D297353CC}">
              <c16:uniqueId val="{00000004-0AB1-4581-A3C8-B9C40D604904}"/>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o300kW'!$A$51</c:f>
          <c:strCache>
            <c:ptCount val="1"/>
            <c:pt idx="0">
              <c:v>Average price per tonne landed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013-4D36-88D4-D9A9FF91091D}"/>
              </c:ext>
            </c:extLst>
          </c:dPt>
          <c:dPt>
            <c:idx val="10"/>
            <c:bubble3D val="0"/>
            <c:spPr>
              <a:ln w="57150">
                <a:solidFill>
                  <a:schemeClr val="accent4"/>
                </a:solidFill>
                <a:prstDash val="sysDot"/>
              </a:ln>
            </c:spPr>
            <c:extLst>
              <c:ext xmlns:c16="http://schemas.microsoft.com/office/drawing/2014/chart" uri="{C3380CC4-5D6E-409C-BE32-E72D297353CC}">
                <c16:uniqueId val="{00000003-E013-4D36-88D4-D9A9FF91091D}"/>
              </c:ext>
            </c:extLst>
          </c:dPt>
          <c:cat>
            <c:numRef>
              <c:f>'NSWOS demersal u24m o300kW'!$D$2:$M$2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o300kW'!$D$21:$N$21</c:f>
              <c:numCache>
                <c:formatCode>#,##0</c:formatCode>
                <c:ptCount val="11"/>
                <c:pt idx="0">
                  <c:v>2316</c:v>
                </c:pt>
                <c:pt idx="1">
                  <c:v>1989</c:v>
                </c:pt>
                <c:pt idx="2">
                  <c:v>2253</c:v>
                </c:pt>
                <c:pt idx="3">
                  <c:v>2154</c:v>
                </c:pt>
                <c:pt idx="4">
                  <c:v>2449</c:v>
                </c:pt>
                <c:pt idx="5">
                  <c:v>2609</c:v>
                </c:pt>
                <c:pt idx="6">
                  <c:v>2534</c:v>
                </c:pt>
                <c:pt idx="7">
                  <c:v>2723</c:v>
                </c:pt>
                <c:pt idx="8">
                  <c:v>2137</c:v>
                </c:pt>
                <c:pt idx="9">
                  <c:v>2380</c:v>
                </c:pt>
                <c:pt idx="10">
                  <c:v>2597</c:v>
                </c:pt>
              </c:numCache>
            </c:numRef>
          </c:val>
          <c:smooth val="0"/>
          <c:extLst>
            <c:ext xmlns:c16="http://schemas.microsoft.com/office/drawing/2014/chart" uri="{C3380CC4-5D6E-409C-BE32-E72D297353CC}">
              <c16:uniqueId val="{00000004-E013-4D36-88D4-D9A9FF91091D}"/>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o300kW'!$K$63</c:f>
          <c:strCache>
            <c:ptCount val="1"/>
            <c:pt idx="0">
              <c:v>Average annual operating profit per vessel (£'000)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AE9F-44E6-B950-AB7871D22DC3}"/>
              </c:ext>
            </c:extLst>
          </c:dPt>
          <c:dPt>
            <c:idx val="10"/>
            <c:bubble3D val="0"/>
            <c:spPr>
              <a:ln w="57150">
                <a:solidFill>
                  <a:schemeClr val="accent5"/>
                </a:solidFill>
                <a:prstDash val="sysDot"/>
              </a:ln>
            </c:spPr>
            <c:extLst>
              <c:ext xmlns:c16="http://schemas.microsoft.com/office/drawing/2014/chart" uri="{C3380CC4-5D6E-409C-BE32-E72D297353CC}">
                <c16:uniqueId val="{00000003-AE9F-44E6-B950-AB7871D22DC3}"/>
              </c:ext>
            </c:extLst>
          </c:dPt>
          <c:cat>
            <c:numRef>
              <c:f>'NSWOS demersal u24m o300kW'!$D$2:$M$2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o300kW'!$D$38:$N$38</c:f>
              <c:numCache>
                <c:formatCode>#,##0.0</c:formatCode>
                <c:ptCount val="11"/>
                <c:pt idx="0">
                  <c:v>71.3</c:v>
                </c:pt>
                <c:pt idx="1">
                  <c:v>147.80000000000001</c:v>
                </c:pt>
                <c:pt idx="2">
                  <c:v>158.19999999999999</c:v>
                </c:pt>
                <c:pt idx="3">
                  <c:v>105.1</c:v>
                </c:pt>
                <c:pt idx="4">
                  <c:v>211.9</c:v>
                </c:pt>
                <c:pt idx="5">
                  <c:v>395.4</c:v>
                </c:pt>
                <c:pt idx="6">
                  <c:v>157</c:v>
                </c:pt>
                <c:pt idx="7">
                  <c:v>355.3</c:v>
                </c:pt>
                <c:pt idx="8">
                  <c:v>115.4</c:v>
                </c:pt>
                <c:pt idx="9">
                  <c:v>193.1</c:v>
                </c:pt>
                <c:pt idx="10">
                  <c:v>109</c:v>
                </c:pt>
              </c:numCache>
            </c:numRef>
          </c:val>
          <c:smooth val="0"/>
          <c:extLst>
            <c:ext xmlns:c16="http://schemas.microsoft.com/office/drawing/2014/chart" uri="{C3380CC4-5D6E-409C-BE32-E72D297353CC}">
              <c16:uniqueId val="{00000004-AE9F-44E6-B950-AB7871D22DC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o300kW'!$A$77</c:f>
          <c:strCache>
            <c:ptCount val="1"/>
            <c:pt idx="0">
              <c:v>Top 5 landed species by volume in 2021
NSWOS demersal under 24m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C9A-45E0-8EDE-5DA2ABD4157E}"/>
              </c:ext>
            </c:extLst>
          </c:dPt>
          <c:dPt>
            <c:idx val="1"/>
            <c:bubble3D val="0"/>
            <c:spPr>
              <a:solidFill>
                <a:srgbClr val="E84A38"/>
              </a:solidFill>
              <a:ln>
                <a:solidFill>
                  <a:srgbClr val="FFFFFF"/>
                </a:solidFill>
              </a:ln>
            </c:spPr>
            <c:extLst>
              <c:ext xmlns:c16="http://schemas.microsoft.com/office/drawing/2014/chart" uri="{C3380CC4-5D6E-409C-BE32-E72D297353CC}">
                <c16:uniqueId val="{00000003-CC9A-45E0-8EDE-5DA2ABD4157E}"/>
              </c:ext>
            </c:extLst>
          </c:dPt>
          <c:dPt>
            <c:idx val="2"/>
            <c:bubble3D val="0"/>
            <c:spPr>
              <a:solidFill>
                <a:srgbClr val="0F9AA9"/>
              </a:solidFill>
              <a:ln>
                <a:solidFill>
                  <a:srgbClr val="FFFFFF"/>
                </a:solidFill>
              </a:ln>
            </c:spPr>
            <c:extLst>
              <c:ext xmlns:c16="http://schemas.microsoft.com/office/drawing/2014/chart" uri="{C3380CC4-5D6E-409C-BE32-E72D297353CC}">
                <c16:uniqueId val="{00000005-CC9A-45E0-8EDE-5DA2ABD4157E}"/>
              </c:ext>
            </c:extLst>
          </c:dPt>
          <c:dPt>
            <c:idx val="3"/>
            <c:bubble3D val="0"/>
            <c:spPr>
              <a:solidFill>
                <a:srgbClr val="E87308"/>
              </a:solidFill>
              <a:ln>
                <a:solidFill>
                  <a:srgbClr val="FFFFFF"/>
                </a:solidFill>
              </a:ln>
            </c:spPr>
            <c:extLst>
              <c:ext xmlns:c16="http://schemas.microsoft.com/office/drawing/2014/chart" uri="{C3380CC4-5D6E-409C-BE32-E72D297353CC}">
                <c16:uniqueId val="{00000007-CC9A-45E0-8EDE-5DA2ABD4157E}"/>
              </c:ext>
            </c:extLst>
          </c:dPt>
          <c:dPt>
            <c:idx val="4"/>
            <c:bubble3D val="0"/>
            <c:spPr>
              <a:solidFill>
                <a:srgbClr val="C1D119"/>
              </a:solidFill>
              <a:ln>
                <a:solidFill>
                  <a:srgbClr val="FFFFFF"/>
                </a:solidFill>
              </a:ln>
            </c:spPr>
            <c:extLst>
              <c:ext xmlns:c16="http://schemas.microsoft.com/office/drawing/2014/chart" uri="{C3380CC4-5D6E-409C-BE32-E72D297353CC}">
                <c16:uniqueId val="{00000009-CC9A-45E0-8EDE-5DA2ABD4157E}"/>
              </c:ext>
            </c:extLst>
          </c:dPt>
          <c:dPt>
            <c:idx val="5"/>
            <c:bubble3D val="0"/>
            <c:spPr>
              <a:solidFill>
                <a:srgbClr val="55585A"/>
              </a:solidFill>
              <a:ln>
                <a:solidFill>
                  <a:srgbClr val="FFFFFF"/>
                </a:solidFill>
              </a:ln>
            </c:spPr>
            <c:extLst>
              <c:ext xmlns:c16="http://schemas.microsoft.com/office/drawing/2014/chart" uri="{C3380CC4-5D6E-409C-BE32-E72D297353CC}">
                <c16:uniqueId val="{0000000B-CC9A-45E0-8EDE-5DA2ABD4157E}"/>
              </c:ext>
            </c:extLst>
          </c:dPt>
          <c:cat>
            <c:strRef>
              <c:f>'NSWOS demersal u24m o300kW'!$B$78:$B$83</c:f>
              <c:strCache>
                <c:ptCount val="6"/>
                <c:pt idx="0">
                  <c:v>Anglerfish - 24.8%</c:v>
                </c:pt>
                <c:pt idx="1">
                  <c:v>Haddock - 12.4%</c:v>
                </c:pt>
                <c:pt idx="2">
                  <c:v>Whiting - 11.1%</c:v>
                </c:pt>
                <c:pt idx="3">
                  <c:v>Megrim - 10.3%</c:v>
                </c:pt>
                <c:pt idx="4">
                  <c:v>Nephrops - 9.8%</c:v>
                </c:pt>
                <c:pt idx="5">
                  <c:v>Others - 31.7%</c:v>
                </c:pt>
              </c:strCache>
            </c:strRef>
          </c:cat>
          <c:val>
            <c:numRef>
              <c:f>'NSWOS demersal u24m o300kW'!$C$78:$C$83</c:f>
              <c:numCache>
                <c:formatCode>0.0%</c:formatCode>
                <c:ptCount val="6"/>
                <c:pt idx="0">
                  <c:v>0.24750359315914447</c:v>
                </c:pt>
                <c:pt idx="1">
                  <c:v>0.12395270549370944</c:v>
                </c:pt>
                <c:pt idx="2">
                  <c:v>0.11070605396809592</c:v>
                </c:pt>
                <c:pt idx="3">
                  <c:v>0.1031397324936308</c:v>
                </c:pt>
                <c:pt idx="4">
                  <c:v>9.798683202774669E-2</c:v>
                </c:pt>
                <c:pt idx="5">
                  <c:v>0.31671108285767269</c:v>
                </c:pt>
              </c:numCache>
            </c:numRef>
          </c:val>
          <c:extLst>
            <c:ext xmlns:c16="http://schemas.microsoft.com/office/drawing/2014/chart" uri="{C3380CC4-5D6E-409C-BE32-E72D297353CC}">
              <c16:uniqueId val="{0000000C-CC9A-45E0-8EDE-5DA2ABD4157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trawl'!$A$50</c:f>
          <c:strCache>
            <c:ptCount val="1"/>
            <c:pt idx="0">
              <c:v>Fishing income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3F3-4680-9546-DCECA57679F2}"/>
              </c:ext>
            </c:extLst>
          </c:dPt>
          <c:dPt>
            <c:idx val="10"/>
            <c:bubble3D val="0"/>
            <c:spPr>
              <a:ln w="57150">
                <a:solidFill>
                  <a:srgbClr val="648C2E"/>
                </a:solidFill>
                <a:prstDash val="sysDot"/>
              </a:ln>
            </c:spPr>
            <c:extLst>
              <c:ext xmlns:c16="http://schemas.microsoft.com/office/drawing/2014/chart" uri="{C3380CC4-5D6E-409C-BE32-E72D297353CC}">
                <c16:uniqueId val="{00000003-C3F3-4680-9546-DCECA57679F2}"/>
              </c:ext>
            </c:extLst>
          </c:dPt>
          <c:cat>
            <c:numRef>
              <c:f>'Area VIIa demersal trawl'!$D$2:$N$2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demersal trawl'!$D$23:$N$23</c:f>
              <c:numCache>
                <c:formatCode>#,##0.00</c:formatCode>
                <c:ptCount val="11"/>
                <c:pt idx="0">
                  <c:v>8.7298393575700004</c:v>
                </c:pt>
                <c:pt idx="1">
                  <c:v>7.3786851050205602</c:v>
                </c:pt>
                <c:pt idx="2">
                  <c:v>8.3376608772038399</c:v>
                </c:pt>
                <c:pt idx="3">
                  <c:v>7.7953843035556103</c:v>
                </c:pt>
                <c:pt idx="4">
                  <c:v>8.6448490067427208</c:v>
                </c:pt>
                <c:pt idx="5">
                  <c:v>8.0827673979526402</c:v>
                </c:pt>
                <c:pt idx="6">
                  <c:v>8.0240688163391098</c:v>
                </c:pt>
                <c:pt idx="7">
                  <c:v>7.6957387349699298</c:v>
                </c:pt>
                <c:pt idx="8">
                  <c:v>4.4531000845599804</c:v>
                </c:pt>
                <c:pt idx="9">
                  <c:v>4.8571635675295797</c:v>
                </c:pt>
                <c:pt idx="10">
                  <c:v>5.7185971130241278</c:v>
                </c:pt>
              </c:numCache>
            </c:numRef>
          </c:val>
          <c:smooth val="0"/>
          <c:extLst>
            <c:ext xmlns:c16="http://schemas.microsoft.com/office/drawing/2014/chart" uri="{C3380CC4-5D6E-409C-BE32-E72D297353CC}">
              <c16:uniqueId val="{00000004-C3F3-4680-9546-DCECA57679F2}"/>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o250kW'!$F$77</c:f>
          <c:strCache>
            <c:ptCount val="1"/>
            <c:pt idx="0">
              <c:v>Top 5 landed species by value in 2021
Area VIIA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0F5-4DA9-AA49-03A7D46A266C}"/>
              </c:ext>
            </c:extLst>
          </c:dPt>
          <c:dPt>
            <c:idx val="1"/>
            <c:bubble3D val="0"/>
            <c:spPr>
              <a:solidFill>
                <a:srgbClr val="E87308"/>
              </a:solidFill>
              <a:ln>
                <a:solidFill>
                  <a:srgbClr val="FFFFFF"/>
                </a:solidFill>
              </a:ln>
            </c:spPr>
            <c:extLst>
              <c:ext xmlns:c16="http://schemas.microsoft.com/office/drawing/2014/chart" uri="{C3380CC4-5D6E-409C-BE32-E72D297353CC}">
                <c16:uniqueId val="{00000003-30F5-4DA9-AA49-03A7D46A266C}"/>
              </c:ext>
            </c:extLst>
          </c:dPt>
          <c:dPt>
            <c:idx val="2"/>
            <c:bubble3D val="0"/>
            <c:spPr>
              <a:solidFill>
                <a:srgbClr val="648C2E"/>
              </a:solidFill>
              <a:ln>
                <a:solidFill>
                  <a:srgbClr val="FFFFFF"/>
                </a:solidFill>
              </a:ln>
            </c:spPr>
            <c:extLst>
              <c:ext xmlns:c16="http://schemas.microsoft.com/office/drawing/2014/chart" uri="{C3380CC4-5D6E-409C-BE32-E72D297353CC}">
                <c16:uniqueId val="{00000005-30F5-4DA9-AA49-03A7D46A266C}"/>
              </c:ext>
            </c:extLst>
          </c:dPt>
          <c:dPt>
            <c:idx val="3"/>
            <c:bubble3D val="0"/>
            <c:spPr>
              <a:solidFill>
                <a:srgbClr val="C1D119"/>
              </a:solidFill>
              <a:ln>
                <a:solidFill>
                  <a:srgbClr val="FFFFFF"/>
                </a:solidFill>
              </a:ln>
            </c:spPr>
            <c:extLst>
              <c:ext xmlns:c16="http://schemas.microsoft.com/office/drawing/2014/chart" uri="{C3380CC4-5D6E-409C-BE32-E72D297353CC}">
                <c16:uniqueId val="{00000007-30F5-4DA9-AA49-03A7D46A266C}"/>
              </c:ext>
            </c:extLst>
          </c:dPt>
          <c:dPt>
            <c:idx val="4"/>
            <c:bubble3D val="0"/>
            <c:spPr>
              <a:solidFill>
                <a:srgbClr val="E84A38"/>
              </a:solidFill>
              <a:ln>
                <a:solidFill>
                  <a:srgbClr val="FFFFFF"/>
                </a:solidFill>
              </a:ln>
            </c:spPr>
            <c:extLst>
              <c:ext xmlns:c16="http://schemas.microsoft.com/office/drawing/2014/chart" uri="{C3380CC4-5D6E-409C-BE32-E72D297353CC}">
                <c16:uniqueId val="{00000009-30F5-4DA9-AA49-03A7D46A266C}"/>
              </c:ext>
            </c:extLst>
          </c:dPt>
          <c:dPt>
            <c:idx val="5"/>
            <c:bubble3D val="0"/>
            <c:spPr>
              <a:solidFill>
                <a:srgbClr val="55585A"/>
              </a:solidFill>
              <a:ln>
                <a:solidFill>
                  <a:srgbClr val="FFFFFF"/>
                </a:solidFill>
              </a:ln>
            </c:spPr>
            <c:extLst>
              <c:ext xmlns:c16="http://schemas.microsoft.com/office/drawing/2014/chart" uri="{C3380CC4-5D6E-409C-BE32-E72D297353CC}">
                <c16:uniqueId val="{0000000B-30F5-4DA9-AA49-03A7D46A266C}"/>
              </c:ext>
            </c:extLst>
          </c:dPt>
          <c:cat>
            <c:strRef>
              <c:f>'Area VIIa nephrops o250kW'!$G$78:$G$83</c:f>
              <c:strCache>
                <c:ptCount val="6"/>
                <c:pt idx="0">
                  <c:v>Nephrops - 92.3%</c:v>
                </c:pt>
                <c:pt idx="1">
                  <c:v>Anglerfish - 2.6%</c:v>
                </c:pt>
                <c:pt idx="2">
                  <c:v>Les. Spot. Dog - 1.0%</c:v>
                </c:pt>
                <c:pt idx="3">
                  <c:v>Sole - 0.8%</c:v>
                </c:pt>
                <c:pt idx="4">
                  <c:v>Haddock - 0.8%</c:v>
                </c:pt>
                <c:pt idx="5">
                  <c:v>Others - 2.6%</c:v>
                </c:pt>
              </c:strCache>
            </c:strRef>
          </c:cat>
          <c:val>
            <c:numRef>
              <c:f>'Area VIIa nephrops o250kW'!$H$78:$H$83</c:f>
              <c:numCache>
                <c:formatCode>0.0%</c:formatCode>
                <c:ptCount val="6"/>
                <c:pt idx="0">
                  <c:v>0.92250492743235979</c:v>
                </c:pt>
                <c:pt idx="1">
                  <c:v>2.5606842880161743E-2</c:v>
                </c:pt>
                <c:pt idx="2">
                  <c:v>1.0012003347983543E-2</c:v>
                </c:pt>
                <c:pt idx="3">
                  <c:v>7.8998443850422269E-3</c:v>
                </c:pt>
                <c:pt idx="4">
                  <c:v>7.8214778119099146E-3</c:v>
                </c:pt>
                <c:pt idx="5">
                  <c:v>2.6154904142542734E-2</c:v>
                </c:pt>
              </c:numCache>
            </c:numRef>
          </c:val>
          <c:extLst>
            <c:ext xmlns:c16="http://schemas.microsoft.com/office/drawing/2014/chart" uri="{C3380CC4-5D6E-409C-BE32-E72D297353CC}">
              <c16:uniqueId val="{0000000C-30F5-4DA9-AA49-03A7D46A266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o300kW'!$F$77</c:f>
          <c:strCache>
            <c:ptCount val="1"/>
            <c:pt idx="0">
              <c:v>Top 5 landed species by value in 2021
NSWOS demersal under 24m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4D1-4C36-BB79-21D19C4DB408}"/>
              </c:ext>
            </c:extLst>
          </c:dPt>
          <c:dPt>
            <c:idx val="1"/>
            <c:bubble3D val="0"/>
            <c:spPr>
              <a:solidFill>
                <a:srgbClr val="E87308"/>
              </a:solidFill>
              <a:ln>
                <a:solidFill>
                  <a:srgbClr val="FFFFFF"/>
                </a:solidFill>
              </a:ln>
            </c:spPr>
            <c:extLst>
              <c:ext xmlns:c16="http://schemas.microsoft.com/office/drawing/2014/chart" uri="{C3380CC4-5D6E-409C-BE32-E72D297353CC}">
                <c16:uniqueId val="{00000003-44D1-4C36-BB79-21D19C4DB408}"/>
              </c:ext>
            </c:extLst>
          </c:dPt>
          <c:dPt>
            <c:idx val="2"/>
            <c:bubble3D val="0"/>
            <c:spPr>
              <a:solidFill>
                <a:srgbClr val="648C2E"/>
              </a:solidFill>
              <a:ln>
                <a:solidFill>
                  <a:srgbClr val="FFFFFF"/>
                </a:solidFill>
              </a:ln>
            </c:spPr>
            <c:extLst>
              <c:ext xmlns:c16="http://schemas.microsoft.com/office/drawing/2014/chart" uri="{C3380CC4-5D6E-409C-BE32-E72D297353CC}">
                <c16:uniqueId val="{00000005-44D1-4C36-BB79-21D19C4DB408}"/>
              </c:ext>
            </c:extLst>
          </c:dPt>
          <c:dPt>
            <c:idx val="3"/>
            <c:bubble3D val="0"/>
            <c:spPr>
              <a:solidFill>
                <a:srgbClr val="C1D119"/>
              </a:solidFill>
              <a:ln>
                <a:solidFill>
                  <a:srgbClr val="FFFFFF"/>
                </a:solidFill>
              </a:ln>
            </c:spPr>
            <c:extLst>
              <c:ext xmlns:c16="http://schemas.microsoft.com/office/drawing/2014/chart" uri="{C3380CC4-5D6E-409C-BE32-E72D297353CC}">
                <c16:uniqueId val="{00000007-44D1-4C36-BB79-21D19C4DB408}"/>
              </c:ext>
            </c:extLst>
          </c:dPt>
          <c:dPt>
            <c:idx val="4"/>
            <c:bubble3D val="0"/>
            <c:spPr>
              <a:solidFill>
                <a:srgbClr val="E84A38"/>
              </a:solidFill>
              <a:ln>
                <a:solidFill>
                  <a:srgbClr val="FFFFFF"/>
                </a:solidFill>
              </a:ln>
            </c:spPr>
            <c:extLst>
              <c:ext xmlns:c16="http://schemas.microsoft.com/office/drawing/2014/chart" uri="{C3380CC4-5D6E-409C-BE32-E72D297353CC}">
                <c16:uniqueId val="{00000009-44D1-4C36-BB79-21D19C4DB408}"/>
              </c:ext>
            </c:extLst>
          </c:dPt>
          <c:dPt>
            <c:idx val="5"/>
            <c:bubble3D val="0"/>
            <c:spPr>
              <a:solidFill>
                <a:srgbClr val="55585A"/>
              </a:solidFill>
              <a:ln>
                <a:solidFill>
                  <a:srgbClr val="FFFFFF"/>
                </a:solidFill>
              </a:ln>
            </c:spPr>
            <c:extLst>
              <c:ext xmlns:c16="http://schemas.microsoft.com/office/drawing/2014/chart" uri="{C3380CC4-5D6E-409C-BE32-E72D297353CC}">
                <c16:uniqueId val="{0000000B-44D1-4C36-BB79-21D19C4DB408}"/>
              </c:ext>
            </c:extLst>
          </c:dPt>
          <c:cat>
            <c:strRef>
              <c:f>'NSWOS demersal u24m o300kW'!$G$78:$G$83</c:f>
              <c:strCache>
                <c:ptCount val="6"/>
                <c:pt idx="0">
                  <c:v>Anglerfish - 31.4%</c:v>
                </c:pt>
                <c:pt idx="1">
                  <c:v>Megrim - 14.6%</c:v>
                </c:pt>
                <c:pt idx="2">
                  <c:v>Cod - 13.2%</c:v>
                </c:pt>
                <c:pt idx="3">
                  <c:v>Nephrops - 12.1%</c:v>
                </c:pt>
                <c:pt idx="4">
                  <c:v>Haddock - 7.6%</c:v>
                </c:pt>
                <c:pt idx="5">
                  <c:v>Others - 21.2%</c:v>
                </c:pt>
              </c:strCache>
            </c:strRef>
          </c:cat>
          <c:val>
            <c:numRef>
              <c:f>'NSWOS demersal u24m o300kW'!$H$78:$H$83</c:f>
              <c:numCache>
                <c:formatCode>0.0%</c:formatCode>
                <c:ptCount val="6"/>
                <c:pt idx="0">
                  <c:v>0.3138507117413048</c:v>
                </c:pt>
                <c:pt idx="1">
                  <c:v>0.14552970503378232</c:v>
                </c:pt>
                <c:pt idx="2">
                  <c:v>0.13156022699371991</c:v>
                </c:pt>
                <c:pt idx="3">
                  <c:v>0.12065074510354121</c:v>
                </c:pt>
                <c:pt idx="4">
                  <c:v>7.6484599127035077E-2</c:v>
                </c:pt>
                <c:pt idx="5">
                  <c:v>0.21192401200061661</c:v>
                </c:pt>
              </c:numCache>
            </c:numRef>
          </c:val>
          <c:extLst>
            <c:ext xmlns:c16="http://schemas.microsoft.com/office/drawing/2014/chart" uri="{C3380CC4-5D6E-409C-BE32-E72D297353CC}">
              <c16:uniqueId val="{0000000C-44D1-4C36-BB79-21D19C4DB40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o300kW'!$C$93</c:f>
              <c:strCache>
                <c:ptCount val="1"/>
                <c:pt idx="0">
                  <c:v>Anglerfish</c:v>
                </c:pt>
              </c:strCache>
            </c:strRef>
          </c:tx>
          <c:spPr>
            <a:solidFill>
              <a:srgbClr val="2273B9"/>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o300kW'!$D$93:$M$93</c:f>
              <c:numCache>
                <c:formatCode>0%</c:formatCode>
                <c:ptCount val="10"/>
                <c:pt idx="0">
                  <c:v>0.20586088664087801</c:v>
                </c:pt>
                <c:pt idx="1">
                  <c:v>0.20885299978592098</c:v>
                </c:pt>
                <c:pt idx="2">
                  <c:v>0.25508867845839367</c:v>
                </c:pt>
                <c:pt idx="3">
                  <c:v>0.29530025006217131</c:v>
                </c:pt>
                <c:pt idx="4">
                  <c:v>0.28227266075242791</c:v>
                </c:pt>
                <c:pt idx="5">
                  <c:v>0.27400465491906034</c:v>
                </c:pt>
                <c:pt idx="6">
                  <c:v>0.25441751949445529</c:v>
                </c:pt>
                <c:pt idx="7">
                  <c:v>0.27226395950552773</c:v>
                </c:pt>
                <c:pt idx="8">
                  <c:v>0.3138507117413048</c:v>
                </c:pt>
                <c:pt idx="9">
                  <c:v>0.2913004461842208</c:v>
                </c:pt>
              </c:numCache>
            </c:numRef>
          </c:val>
          <c:extLst>
            <c:ext xmlns:c16="http://schemas.microsoft.com/office/drawing/2014/chart" uri="{C3380CC4-5D6E-409C-BE32-E72D297353CC}">
              <c16:uniqueId val="{00000000-FFA9-46B7-AF15-6607830B49B1}"/>
            </c:ext>
          </c:extLst>
        </c:ser>
        <c:ser>
          <c:idx val="1"/>
          <c:order val="1"/>
          <c:tx>
            <c:strRef>
              <c:f>'NSWOS demersal u24m o300kW'!$C$94</c:f>
              <c:strCache>
                <c:ptCount val="1"/>
                <c:pt idx="0">
                  <c:v>Megrim</c:v>
                </c:pt>
              </c:strCache>
            </c:strRef>
          </c:tx>
          <c:spPr>
            <a:solidFill>
              <a:srgbClr val="E87308"/>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o300kW'!$D$94:$M$94</c:f>
              <c:numCache>
                <c:formatCode>0%</c:formatCode>
                <c:ptCount val="10"/>
                <c:pt idx="0">
                  <c:v>9.2661210214459305E-2</c:v>
                </c:pt>
                <c:pt idx="1">
                  <c:v>7.7703531947885845E-2</c:v>
                </c:pt>
                <c:pt idx="2">
                  <c:v>5.6568036055150386E-2</c:v>
                </c:pt>
                <c:pt idx="4">
                  <c:v>6.0733635706837819E-2</c:v>
                </c:pt>
                <c:pt idx="5">
                  <c:v>6.3180935807107375E-2</c:v>
                </c:pt>
                <c:pt idx="6">
                  <c:v>8.8788185714813408E-2</c:v>
                </c:pt>
                <c:pt idx="7">
                  <c:v>0.13545889154727461</c:v>
                </c:pt>
                <c:pt idx="8">
                  <c:v>0.14552970503378232</c:v>
                </c:pt>
                <c:pt idx="9">
                  <c:v>0.11255111156973842</c:v>
                </c:pt>
              </c:numCache>
            </c:numRef>
          </c:val>
          <c:extLst>
            <c:ext xmlns:c16="http://schemas.microsoft.com/office/drawing/2014/chart" uri="{C3380CC4-5D6E-409C-BE32-E72D297353CC}">
              <c16:uniqueId val="{00000001-FFA9-46B7-AF15-6607830B49B1}"/>
            </c:ext>
          </c:extLst>
        </c:ser>
        <c:ser>
          <c:idx val="2"/>
          <c:order val="2"/>
          <c:tx>
            <c:strRef>
              <c:f>'NSWOS demersal u24m o300kW'!$C$95</c:f>
              <c:strCache>
                <c:ptCount val="1"/>
                <c:pt idx="0">
                  <c:v>Cod</c:v>
                </c:pt>
              </c:strCache>
            </c:strRef>
          </c:tx>
          <c:spPr>
            <a:solidFill>
              <a:srgbClr val="648C2E"/>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o300kW'!$D$95:$M$95</c:f>
              <c:numCache>
                <c:formatCode>0%</c:formatCode>
                <c:ptCount val="10"/>
                <c:pt idx="0">
                  <c:v>0.1392130912196477</c:v>
                </c:pt>
                <c:pt idx="1">
                  <c:v>0.15020085804199765</c:v>
                </c:pt>
                <c:pt idx="2">
                  <c:v>0.14744146143074563</c:v>
                </c:pt>
                <c:pt idx="3">
                  <c:v>0.15334605610639487</c:v>
                </c:pt>
                <c:pt idx="4">
                  <c:v>0.16319724673375047</c:v>
                </c:pt>
                <c:pt idx="5">
                  <c:v>0.16794401591349684</c:v>
                </c:pt>
                <c:pt idx="6">
                  <c:v>0.21812396051993727</c:v>
                </c:pt>
                <c:pt idx="7">
                  <c:v>0.14526413080512693</c:v>
                </c:pt>
                <c:pt idx="8">
                  <c:v>0.13156022699371991</c:v>
                </c:pt>
                <c:pt idx="9">
                  <c:v>0.15180677777852963</c:v>
                </c:pt>
              </c:numCache>
            </c:numRef>
          </c:val>
          <c:extLst>
            <c:ext xmlns:c16="http://schemas.microsoft.com/office/drawing/2014/chart" uri="{C3380CC4-5D6E-409C-BE32-E72D297353CC}">
              <c16:uniqueId val="{00000002-FFA9-46B7-AF15-6607830B49B1}"/>
            </c:ext>
          </c:extLst>
        </c:ser>
        <c:ser>
          <c:idx val="3"/>
          <c:order val="3"/>
          <c:tx>
            <c:strRef>
              <c:f>'NSWOS demersal u24m o300kW'!$C$96</c:f>
              <c:strCache>
                <c:ptCount val="1"/>
                <c:pt idx="0">
                  <c:v>Nephrops</c:v>
                </c:pt>
              </c:strCache>
            </c:strRef>
          </c:tx>
          <c:spPr>
            <a:solidFill>
              <a:srgbClr val="C1D119"/>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o300kW'!$D$96:$M$96</c:f>
              <c:numCache>
                <c:formatCode>0%</c:formatCode>
                <c:ptCount val="10"/>
                <c:pt idx="0">
                  <c:v>0.10786903147891962</c:v>
                </c:pt>
                <c:pt idx="1">
                  <c:v>0.12698797115171784</c:v>
                </c:pt>
                <c:pt idx="2">
                  <c:v>0.14539436123514304</c:v>
                </c:pt>
                <c:pt idx="3">
                  <c:v>0.10489176706137955</c:v>
                </c:pt>
                <c:pt idx="4">
                  <c:v>0.11123186157290216</c:v>
                </c:pt>
                <c:pt idx="5">
                  <c:v>0.15147339554078243</c:v>
                </c:pt>
                <c:pt idx="6">
                  <c:v>8.1327728710695851E-2</c:v>
                </c:pt>
                <c:pt idx="7">
                  <c:v>0.111043372995779</c:v>
                </c:pt>
                <c:pt idx="8">
                  <c:v>0.12065074510354121</c:v>
                </c:pt>
                <c:pt idx="9">
                  <c:v>0.15620280978770817</c:v>
                </c:pt>
              </c:numCache>
            </c:numRef>
          </c:val>
          <c:extLst>
            <c:ext xmlns:c16="http://schemas.microsoft.com/office/drawing/2014/chart" uri="{C3380CC4-5D6E-409C-BE32-E72D297353CC}">
              <c16:uniqueId val="{00000003-FFA9-46B7-AF15-6607830B49B1}"/>
            </c:ext>
          </c:extLst>
        </c:ser>
        <c:ser>
          <c:idx val="4"/>
          <c:order val="4"/>
          <c:tx>
            <c:strRef>
              <c:f>'NSWOS demersal u24m o300kW'!$C$97</c:f>
              <c:strCache>
                <c:ptCount val="1"/>
                <c:pt idx="0">
                  <c:v>Haddock</c:v>
                </c:pt>
              </c:strCache>
            </c:strRef>
          </c:tx>
          <c:spPr>
            <a:solidFill>
              <a:srgbClr val="E84A38"/>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o300kW'!$D$97:$M$97</c:f>
              <c:numCache>
                <c:formatCode>0%</c:formatCode>
                <c:ptCount val="10"/>
                <c:pt idx="0">
                  <c:v>0.19118049834957648</c:v>
                </c:pt>
                <c:pt idx="1">
                  <c:v>0.19227705427281416</c:v>
                </c:pt>
                <c:pt idx="2">
                  <c:v>0.146299239451432</c:v>
                </c:pt>
                <c:pt idx="3">
                  <c:v>0.11686926724048491</c:v>
                </c:pt>
                <c:pt idx="4">
                  <c:v>0.10742524079498982</c:v>
                </c:pt>
                <c:pt idx="5">
                  <c:v>0.10308447918965936</c:v>
                </c:pt>
                <c:pt idx="6">
                  <c:v>9.2077262241523752E-2</c:v>
                </c:pt>
                <c:pt idx="7">
                  <c:v>9.1468825041617019E-2</c:v>
                </c:pt>
                <c:pt idx="8">
                  <c:v>7.6484599127035077E-2</c:v>
                </c:pt>
                <c:pt idx="9">
                  <c:v>7.7465223973652242E-2</c:v>
                </c:pt>
              </c:numCache>
            </c:numRef>
          </c:val>
          <c:extLst>
            <c:ext xmlns:c16="http://schemas.microsoft.com/office/drawing/2014/chart" uri="{C3380CC4-5D6E-409C-BE32-E72D297353CC}">
              <c16:uniqueId val="{00000004-FFA9-46B7-AF15-6607830B49B1}"/>
            </c:ext>
          </c:extLst>
        </c:ser>
        <c:ser>
          <c:idx val="5"/>
          <c:order val="5"/>
          <c:tx>
            <c:strRef>
              <c:f>'NSWOS demersal u24m o300kW'!$C$98</c:f>
              <c:strCache>
                <c:ptCount val="1"/>
                <c:pt idx="0">
                  <c:v>Squid</c:v>
                </c:pt>
              </c:strCache>
            </c:strRef>
          </c:tx>
          <c:spPr>
            <a:solidFill>
              <a:srgbClr val="0F9AA9"/>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o300kW'!$D$98:$M$98</c:f>
              <c:numCache>
                <c:formatCode>0%</c:formatCode>
                <c:ptCount val="10"/>
                <c:pt idx="3">
                  <c:v>7.152186122859866E-2</c:v>
                </c:pt>
              </c:numCache>
            </c:numRef>
          </c:val>
          <c:extLst>
            <c:ext xmlns:c16="http://schemas.microsoft.com/office/drawing/2014/chart" uri="{C3380CC4-5D6E-409C-BE32-E72D297353CC}">
              <c16:uniqueId val="{00000005-FFA9-46B7-AF15-6607830B49B1}"/>
            </c:ext>
          </c:extLst>
        </c:ser>
        <c:ser>
          <c:idx val="6"/>
          <c:order val="6"/>
          <c:tx>
            <c:strRef>
              <c:f>'NSWOS demersal u24m o300kW'!$C$99</c:f>
              <c:strCache>
                <c:ptCount val="1"/>
                <c:pt idx="0">
                  <c:v>Others</c:v>
                </c:pt>
              </c:strCache>
            </c:strRef>
          </c:tx>
          <c:spPr>
            <a:solidFill>
              <a:srgbClr val="55585A"/>
            </a:solidFill>
            <a:ln>
              <a:solidFill>
                <a:srgbClr val="FFFFFF"/>
              </a:solidFill>
            </a:ln>
          </c:spPr>
          <c:invertIfNegative val="0"/>
          <c:cat>
            <c:numRef>
              <c:f>'NSWOS demersal u24m o300kW'!$D$92:$M$92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o300kW'!$D$99:$M$99</c:f>
              <c:numCache>
                <c:formatCode>0%</c:formatCode>
                <c:ptCount val="10"/>
                <c:pt idx="0">
                  <c:v>0.2632152820965189</c:v>
                </c:pt>
                <c:pt idx="1">
                  <c:v>0.24397758479966353</c:v>
                </c:pt>
                <c:pt idx="2">
                  <c:v>0.24920822336913526</c:v>
                </c:pt>
                <c:pt idx="3">
                  <c:v>0.25807079830097074</c:v>
                </c:pt>
                <c:pt idx="4">
                  <c:v>0.27513935443909182</c:v>
                </c:pt>
                <c:pt idx="5">
                  <c:v>0.24031251862989367</c:v>
                </c:pt>
                <c:pt idx="6">
                  <c:v>0.26526534331857443</c:v>
                </c:pt>
                <c:pt idx="7">
                  <c:v>0.24450082010467472</c:v>
                </c:pt>
                <c:pt idx="8">
                  <c:v>0.21192401200061667</c:v>
                </c:pt>
                <c:pt idx="9">
                  <c:v>0.21067363070615072</c:v>
                </c:pt>
              </c:numCache>
            </c:numRef>
          </c:val>
          <c:extLst>
            <c:ext xmlns:c16="http://schemas.microsoft.com/office/drawing/2014/chart" uri="{C3380CC4-5D6E-409C-BE32-E72D297353CC}">
              <c16:uniqueId val="{00000006-FFA9-46B7-AF15-6607830B49B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o300kW'!$B$163</c:f>
              <c:strCache>
                <c:ptCount val="1"/>
                <c:pt idx="0">
                  <c:v>Anglerfish</c:v>
                </c:pt>
              </c:strCache>
            </c:strRef>
          </c:tx>
          <c:spPr>
            <a:solidFill>
              <a:srgbClr val="2273B9"/>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o300kW'!$C$163:$E$163</c:f>
              <c:numCache>
                <c:formatCode>0%</c:formatCode>
                <c:ptCount val="3"/>
                <c:pt idx="0">
                  <c:v>0.23604460410113948</c:v>
                </c:pt>
                <c:pt idx="1">
                  <c:v>0.26440606262289612</c:v>
                </c:pt>
                <c:pt idx="2">
                  <c:v>0.2612885660472391</c:v>
                </c:pt>
              </c:numCache>
            </c:numRef>
          </c:val>
          <c:extLst>
            <c:ext xmlns:c16="http://schemas.microsoft.com/office/drawing/2014/chart" uri="{C3380CC4-5D6E-409C-BE32-E72D297353CC}">
              <c16:uniqueId val="{00000000-94B4-4064-9279-A6B349E50E5B}"/>
            </c:ext>
          </c:extLst>
        </c:ser>
        <c:ser>
          <c:idx val="1"/>
          <c:order val="1"/>
          <c:tx>
            <c:strRef>
              <c:f>'NSWOS demersal u24m o300kW'!$B$164</c:f>
              <c:strCache>
                <c:ptCount val="1"/>
                <c:pt idx="0">
                  <c:v>Haddock</c:v>
                </c:pt>
              </c:strCache>
            </c:strRef>
          </c:tx>
          <c:spPr>
            <a:solidFill>
              <a:srgbClr val="E84A38"/>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o300kW'!$C$164:$E$164</c:f>
              <c:numCache>
                <c:formatCode>0%</c:formatCode>
                <c:ptCount val="3"/>
                <c:pt idx="0">
                  <c:v>9.9265824091169477E-2</c:v>
                </c:pt>
                <c:pt idx="1">
                  <c:v>0.14616145082318083</c:v>
                </c:pt>
                <c:pt idx="2">
                  <c:v>0.13124777917210942</c:v>
                </c:pt>
              </c:numCache>
            </c:numRef>
          </c:val>
          <c:extLst>
            <c:ext xmlns:c16="http://schemas.microsoft.com/office/drawing/2014/chart" uri="{C3380CC4-5D6E-409C-BE32-E72D297353CC}">
              <c16:uniqueId val="{00000001-94B4-4064-9279-A6B349E50E5B}"/>
            </c:ext>
          </c:extLst>
        </c:ser>
        <c:ser>
          <c:idx val="2"/>
          <c:order val="2"/>
          <c:tx>
            <c:strRef>
              <c:f>'NSWOS demersal u24m o300kW'!$B$165</c:f>
              <c:strCache>
                <c:ptCount val="1"/>
                <c:pt idx="0">
                  <c:v>Whiting</c:v>
                </c:pt>
              </c:strCache>
            </c:strRef>
          </c:tx>
          <c:spPr>
            <a:solidFill>
              <a:srgbClr val="0F9AA9"/>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o300kW'!$C$165:$E$165</c:f>
              <c:numCache>
                <c:formatCode>0%</c:formatCode>
                <c:ptCount val="3"/>
                <c:pt idx="0">
                  <c:v>0</c:v>
                </c:pt>
                <c:pt idx="1">
                  <c:v>0.13429858955499363</c:v>
                </c:pt>
                <c:pt idx="2">
                  <c:v>0.13042615188561116</c:v>
                </c:pt>
              </c:numCache>
            </c:numRef>
          </c:val>
          <c:extLst>
            <c:ext xmlns:c16="http://schemas.microsoft.com/office/drawing/2014/chart" uri="{C3380CC4-5D6E-409C-BE32-E72D297353CC}">
              <c16:uniqueId val="{00000002-94B4-4064-9279-A6B349E50E5B}"/>
            </c:ext>
          </c:extLst>
        </c:ser>
        <c:ser>
          <c:idx val="3"/>
          <c:order val="3"/>
          <c:tx>
            <c:strRef>
              <c:f>'NSWOS demersal u24m o300kW'!$B$166</c:f>
              <c:strCache>
                <c:ptCount val="1"/>
                <c:pt idx="0">
                  <c:v>Cod</c:v>
                </c:pt>
              </c:strCache>
            </c:strRef>
          </c:tx>
          <c:spPr>
            <a:solidFill>
              <a:srgbClr val="648C2E"/>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o300kW'!$C$166:$E$166</c:f>
              <c:numCache>
                <c:formatCode>0%</c:formatCode>
                <c:ptCount val="3"/>
                <c:pt idx="0">
                  <c:v>9.7359603125812322E-2</c:v>
                </c:pt>
                <c:pt idx="1">
                  <c:v>9.9207421492025993E-2</c:v>
                </c:pt>
                <c:pt idx="2">
                  <c:v>5.8867137758592397E-2</c:v>
                </c:pt>
              </c:numCache>
            </c:numRef>
          </c:val>
          <c:extLst>
            <c:ext xmlns:c16="http://schemas.microsoft.com/office/drawing/2014/chart" uri="{C3380CC4-5D6E-409C-BE32-E72D297353CC}">
              <c16:uniqueId val="{00000003-94B4-4064-9279-A6B349E50E5B}"/>
            </c:ext>
          </c:extLst>
        </c:ser>
        <c:ser>
          <c:idx val="4"/>
          <c:order val="4"/>
          <c:tx>
            <c:strRef>
              <c:f>'NSWOS demersal u24m o300kW'!$B$167</c:f>
              <c:strCache>
                <c:ptCount val="1"/>
                <c:pt idx="0">
                  <c:v>Nephrops</c:v>
                </c:pt>
              </c:strCache>
            </c:strRef>
          </c:tx>
          <c:spPr>
            <a:solidFill>
              <a:srgbClr val="C1D119"/>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o300kW'!$C$167:$E$167</c:f>
              <c:numCache>
                <c:formatCode>0%</c:formatCode>
                <c:ptCount val="3"/>
                <c:pt idx="0">
                  <c:v>0</c:v>
                </c:pt>
                <c:pt idx="1">
                  <c:v>9.9081209136141796E-2</c:v>
                </c:pt>
                <c:pt idx="2">
                  <c:v>0.21278303427076062</c:v>
                </c:pt>
              </c:numCache>
            </c:numRef>
          </c:val>
          <c:extLst>
            <c:ext xmlns:c16="http://schemas.microsoft.com/office/drawing/2014/chart" uri="{C3380CC4-5D6E-409C-BE32-E72D297353CC}">
              <c16:uniqueId val="{00000004-94B4-4064-9279-A6B349E50E5B}"/>
            </c:ext>
          </c:extLst>
        </c:ser>
        <c:ser>
          <c:idx val="5"/>
          <c:order val="5"/>
          <c:tx>
            <c:strRef>
              <c:f>'NSWOS demersal u24m o300kW'!$B$168</c:f>
              <c:strCache>
                <c:ptCount val="1"/>
                <c:pt idx="0">
                  <c:v>Megrim</c:v>
                </c:pt>
              </c:strCache>
            </c:strRef>
          </c:tx>
          <c:spPr>
            <a:solidFill>
              <a:srgbClr val="E87308"/>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o300kW'!$C$168:$E$168</c:f>
              <c:numCache>
                <c:formatCode>0%</c:formatCode>
                <c:ptCount val="3"/>
                <c:pt idx="0">
                  <c:v>0.18853133312080436</c:v>
                </c:pt>
                <c:pt idx="1">
                  <c:v>0</c:v>
                </c:pt>
                <c:pt idx="2">
                  <c:v>0</c:v>
                </c:pt>
              </c:numCache>
            </c:numRef>
          </c:val>
          <c:extLst>
            <c:ext xmlns:c16="http://schemas.microsoft.com/office/drawing/2014/chart" uri="{C3380CC4-5D6E-409C-BE32-E72D297353CC}">
              <c16:uniqueId val="{00000005-94B4-4064-9279-A6B349E50E5B}"/>
            </c:ext>
          </c:extLst>
        </c:ser>
        <c:ser>
          <c:idx val="6"/>
          <c:order val="6"/>
          <c:tx>
            <c:strRef>
              <c:f>'NSWOS demersal u24m o300kW'!$B$169</c:f>
              <c:strCache>
                <c:ptCount val="1"/>
                <c:pt idx="0">
                  <c:v>Ling</c:v>
                </c:pt>
              </c:strCache>
            </c:strRef>
          </c:tx>
          <c:spPr>
            <a:solidFill>
              <a:srgbClr val="FED825"/>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o300kW'!$C$169:$E$169</c:f>
              <c:numCache>
                <c:formatCode>0%</c:formatCode>
                <c:ptCount val="3"/>
                <c:pt idx="0">
                  <c:v>8.5895561694431077E-2</c:v>
                </c:pt>
                <c:pt idx="1">
                  <c:v>0</c:v>
                </c:pt>
                <c:pt idx="2">
                  <c:v>0</c:v>
                </c:pt>
              </c:numCache>
            </c:numRef>
          </c:val>
          <c:extLst>
            <c:ext xmlns:c16="http://schemas.microsoft.com/office/drawing/2014/chart" uri="{C3380CC4-5D6E-409C-BE32-E72D297353CC}">
              <c16:uniqueId val="{00000006-94B4-4064-9279-A6B349E50E5B}"/>
            </c:ext>
          </c:extLst>
        </c:ser>
        <c:ser>
          <c:idx val="7"/>
          <c:order val="7"/>
          <c:tx>
            <c:strRef>
              <c:f>'NSWOS demersal u24m o300kW'!$B$170</c:f>
              <c:strCache>
                <c:ptCount val="1"/>
                <c:pt idx="0">
                  <c:v>Others</c:v>
                </c:pt>
              </c:strCache>
            </c:strRef>
          </c:tx>
          <c:spPr>
            <a:solidFill>
              <a:srgbClr val="55585A"/>
            </a:solidFill>
            <a:ln>
              <a:solidFill>
                <a:srgbClr val="FFFFFF"/>
              </a:solidFill>
            </a:ln>
          </c:spPr>
          <c:invertIfNegative val="0"/>
          <c:cat>
            <c:strRef>
              <c:f>'NSWOS demersal u24m o300kW'!$C$162:$E$162</c:f>
              <c:strCache>
                <c:ptCount val="3"/>
                <c:pt idx="0">
                  <c:v>Most
profitable
quartile</c:v>
                </c:pt>
                <c:pt idx="1">
                  <c:v>Middle 
two quartiles</c:v>
                </c:pt>
                <c:pt idx="2">
                  <c:v>Least
profitable
quartile</c:v>
                </c:pt>
              </c:strCache>
            </c:strRef>
          </c:cat>
          <c:val>
            <c:numRef>
              <c:f>'NSWOS demersal u24m o300kW'!$C$170:$E$170</c:f>
              <c:numCache>
                <c:formatCode>0%</c:formatCode>
                <c:ptCount val="3"/>
                <c:pt idx="0">
                  <c:v>0.29290307386664338</c:v>
                </c:pt>
                <c:pt idx="1">
                  <c:v>0.25684526637076155</c:v>
                </c:pt>
                <c:pt idx="2">
                  <c:v>0.20538733086568728</c:v>
                </c:pt>
              </c:numCache>
            </c:numRef>
          </c:val>
          <c:extLst>
            <c:ext xmlns:c16="http://schemas.microsoft.com/office/drawing/2014/chart" uri="{C3380CC4-5D6E-409C-BE32-E72D297353CC}">
              <c16:uniqueId val="{00000007-94B4-4064-9279-A6B349E50E5B}"/>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o300kW'!$H$163</c:f>
              <c:strCache>
                <c:ptCount val="1"/>
                <c:pt idx="0">
                  <c:v>Anglerfish</c:v>
                </c:pt>
              </c:strCache>
            </c:strRef>
          </c:tx>
          <c:spPr>
            <a:solidFill>
              <a:srgbClr val="2273B9"/>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o300kW'!$I$163:$K$163</c:f>
              <c:numCache>
                <c:formatCode>0%</c:formatCode>
                <c:ptCount val="3"/>
                <c:pt idx="0">
                  <c:v>0.2848521048828212</c:v>
                </c:pt>
                <c:pt idx="1">
                  <c:v>0.33323482173252622</c:v>
                </c:pt>
                <c:pt idx="2">
                  <c:v>0.35563009974632354</c:v>
                </c:pt>
              </c:numCache>
            </c:numRef>
          </c:val>
          <c:extLst>
            <c:ext xmlns:c16="http://schemas.microsoft.com/office/drawing/2014/chart" uri="{C3380CC4-5D6E-409C-BE32-E72D297353CC}">
              <c16:uniqueId val="{00000000-04EF-4762-A925-B7CF506CE11A}"/>
            </c:ext>
          </c:extLst>
        </c:ser>
        <c:ser>
          <c:idx val="1"/>
          <c:order val="1"/>
          <c:tx>
            <c:strRef>
              <c:f>'NSWOS demersal u24m o300kW'!$H$164</c:f>
              <c:strCache>
                <c:ptCount val="1"/>
                <c:pt idx="0">
                  <c:v>Cod</c:v>
                </c:pt>
              </c:strCache>
            </c:strRef>
          </c:tx>
          <c:spPr>
            <a:solidFill>
              <a:srgbClr val="648C2E"/>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o300kW'!$I$164:$K$164</c:f>
              <c:numCache>
                <c:formatCode>0%</c:formatCode>
                <c:ptCount val="3"/>
                <c:pt idx="0">
                  <c:v>0.13799989169866614</c:v>
                </c:pt>
                <c:pt idx="1">
                  <c:v>0.15229764644280927</c:v>
                </c:pt>
                <c:pt idx="2">
                  <c:v>9.4208156151372693E-2</c:v>
                </c:pt>
              </c:numCache>
            </c:numRef>
          </c:val>
          <c:extLst>
            <c:ext xmlns:c16="http://schemas.microsoft.com/office/drawing/2014/chart" uri="{C3380CC4-5D6E-409C-BE32-E72D297353CC}">
              <c16:uniqueId val="{00000001-04EF-4762-A925-B7CF506CE11A}"/>
            </c:ext>
          </c:extLst>
        </c:ser>
        <c:ser>
          <c:idx val="2"/>
          <c:order val="2"/>
          <c:tx>
            <c:strRef>
              <c:f>'NSWOS demersal u24m o300kW'!$H$165</c:f>
              <c:strCache>
                <c:ptCount val="1"/>
                <c:pt idx="0">
                  <c:v>Nephrops</c:v>
                </c:pt>
              </c:strCache>
            </c:strRef>
          </c:tx>
          <c:spPr>
            <a:solidFill>
              <a:srgbClr val="C1D119"/>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o300kW'!$I$165:$K$165</c:f>
              <c:numCache>
                <c:formatCode>0%</c:formatCode>
                <c:ptCount val="3"/>
                <c:pt idx="0">
                  <c:v>0</c:v>
                </c:pt>
                <c:pt idx="1">
                  <c:v>0.13668562420181757</c:v>
                </c:pt>
                <c:pt idx="2">
                  <c:v>0.25306423537066586</c:v>
                </c:pt>
              </c:numCache>
            </c:numRef>
          </c:val>
          <c:extLst>
            <c:ext xmlns:c16="http://schemas.microsoft.com/office/drawing/2014/chart" uri="{C3380CC4-5D6E-409C-BE32-E72D297353CC}">
              <c16:uniqueId val="{00000002-04EF-4762-A925-B7CF506CE11A}"/>
            </c:ext>
          </c:extLst>
        </c:ser>
        <c:ser>
          <c:idx val="3"/>
          <c:order val="3"/>
          <c:tx>
            <c:strRef>
              <c:f>'NSWOS demersal u24m o300kW'!$H$166</c:f>
              <c:strCache>
                <c:ptCount val="1"/>
                <c:pt idx="0">
                  <c:v>Megrim</c:v>
                </c:pt>
              </c:strCache>
            </c:strRef>
          </c:tx>
          <c:spPr>
            <a:solidFill>
              <a:srgbClr val="E87308"/>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o300kW'!$I$166:$K$166</c:f>
              <c:numCache>
                <c:formatCode>0%</c:formatCode>
                <c:ptCount val="3"/>
                <c:pt idx="0">
                  <c:v>0.28312090134548229</c:v>
                </c:pt>
                <c:pt idx="1">
                  <c:v>0.10291244532492036</c:v>
                </c:pt>
                <c:pt idx="2">
                  <c:v>0</c:v>
                </c:pt>
              </c:numCache>
            </c:numRef>
          </c:val>
          <c:extLst>
            <c:ext xmlns:c16="http://schemas.microsoft.com/office/drawing/2014/chart" uri="{C3380CC4-5D6E-409C-BE32-E72D297353CC}">
              <c16:uniqueId val="{00000003-04EF-4762-A925-B7CF506CE11A}"/>
            </c:ext>
          </c:extLst>
        </c:ser>
        <c:ser>
          <c:idx val="4"/>
          <c:order val="4"/>
          <c:tx>
            <c:strRef>
              <c:f>'NSWOS demersal u24m o300kW'!$H$167</c:f>
              <c:strCache>
                <c:ptCount val="1"/>
                <c:pt idx="0">
                  <c:v>Haddock</c:v>
                </c:pt>
              </c:strCache>
            </c:strRef>
          </c:tx>
          <c:spPr>
            <a:solidFill>
              <a:srgbClr val="E84A38"/>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o300kW'!$I$167:$K$167</c:f>
              <c:numCache>
                <c:formatCode>0%</c:formatCode>
                <c:ptCount val="3"/>
                <c:pt idx="0">
                  <c:v>5.9318159923708001E-2</c:v>
                </c:pt>
                <c:pt idx="1">
                  <c:v>9.7936052332163639E-2</c:v>
                </c:pt>
                <c:pt idx="2">
                  <c:v>6.8656449054730895E-2</c:v>
                </c:pt>
              </c:numCache>
            </c:numRef>
          </c:val>
          <c:extLst>
            <c:ext xmlns:c16="http://schemas.microsoft.com/office/drawing/2014/chart" uri="{C3380CC4-5D6E-409C-BE32-E72D297353CC}">
              <c16:uniqueId val="{00000004-04EF-4762-A925-B7CF506CE11A}"/>
            </c:ext>
          </c:extLst>
        </c:ser>
        <c:ser>
          <c:idx val="5"/>
          <c:order val="5"/>
          <c:tx>
            <c:strRef>
              <c:f>'NSWOS demersal u24m o300kW'!$H$168</c:f>
              <c:strCache>
                <c:ptCount val="1"/>
                <c:pt idx="0">
                  <c:v>Whiting</c:v>
                </c:pt>
              </c:strCache>
            </c:strRef>
          </c:tx>
          <c:spPr>
            <a:solidFill>
              <a:srgbClr val="0F9AA9"/>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o300kW'!$I$168:$K$168</c:f>
              <c:numCache>
                <c:formatCode>0%</c:formatCode>
                <c:ptCount val="3"/>
                <c:pt idx="0">
                  <c:v>0</c:v>
                </c:pt>
                <c:pt idx="1">
                  <c:v>0</c:v>
                </c:pt>
                <c:pt idx="2">
                  <c:v>7.9132196743451746E-2</c:v>
                </c:pt>
              </c:numCache>
            </c:numRef>
          </c:val>
          <c:extLst>
            <c:ext xmlns:c16="http://schemas.microsoft.com/office/drawing/2014/chart" uri="{C3380CC4-5D6E-409C-BE32-E72D297353CC}">
              <c16:uniqueId val="{00000005-04EF-4762-A925-B7CF506CE11A}"/>
            </c:ext>
          </c:extLst>
        </c:ser>
        <c:ser>
          <c:idx val="6"/>
          <c:order val="6"/>
          <c:tx>
            <c:strRef>
              <c:f>'NSWOS demersal u24m o300kW'!$H$169</c:f>
              <c:strCache>
                <c:ptCount val="1"/>
                <c:pt idx="0">
                  <c:v>Ling</c:v>
                </c:pt>
              </c:strCache>
            </c:strRef>
          </c:tx>
          <c:spPr>
            <a:solidFill>
              <a:srgbClr val="FED825"/>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o300kW'!$I$169:$K$169</c:f>
              <c:numCache>
                <c:formatCode>0%</c:formatCode>
                <c:ptCount val="3"/>
                <c:pt idx="0">
                  <c:v>3.7326537007463211E-2</c:v>
                </c:pt>
                <c:pt idx="1">
                  <c:v>0</c:v>
                </c:pt>
                <c:pt idx="2">
                  <c:v>0</c:v>
                </c:pt>
              </c:numCache>
            </c:numRef>
          </c:val>
          <c:extLst>
            <c:ext xmlns:c16="http://schemas.microsoft.com/office/drawing/2014/chart" uri="{C3380CC4-5D6E-409C-BE32-E72D297353CC}">
              <c16:uniqueId val="{00000006-04EF-4762-A925-B7CF506CE11A}"/>
            </c:ext>
          </c:extLst>
        </c:ser>
        <c:ser>
          <c:idx val="7"/>
          <c:order val="7"/>
          <c:tx>
            <c:strRef>
              <c:f>'NSWOS demersal u24m o300kW'!$H$170</c:f>
              <c:strCache>
                <c:ptCount val="1"/>
                <c:pt idx="0">
                  <c:v>Others</c:v>
                </c:pt>
              </c:strCache>
            </c:strRef>
          </c:tx>
          <c:spPr>
            <a:solidFill>
              <a:srgbClr val="55585A"/>
            </a:solidFill>
            <a:ln>
              <a:solidFill>
                <a:srgbClr val="FFFFFF"/>
              </a:solidFill>
            </a:ln>
          </c:spPr>
          <c:invertIfNegative val="0"/>
          <c:cat>
            <c:strRef>
              <c:f>'NSWOS demersal u24m o300kW'!$I$162:$K$162</c:f>
              <c:strCache>
                <c:ptCount val="3"/>
                <c:pt idx="0">
                  <c:v>Most
profitable
quartile</c:v>
                </c:pt>
                <c:pt idx="1">
                  <c:v>Middle 
two quartiles</c:v>
                </c:pt>
                <c:pt idx="2">
                  <c:v>Least
profitable
quartile</c:v>
                </c:pt>
              </c:strCache>
            </c:strRef>
          </c:cat>
          <c:val>
            <c:numRef>
              <c:f>'NSWOS demersal u24m o300kW'!$I$170:$K$170</c:f>
              <c:numCache>
                <c:formatCode>0%</c:formatCode>
                <c:ptCount val="3"/>
                <c:pt idx="0">
                  <c:v>0.19738240514185912</c:v>
                </c:pt>
                <c:pt idx="1">
                  <c:v>0.17693340996576301</c:v>
                </c:pt>
                <c:pt idx="2">
                  <c:v>0.14930886293345536</c:v>
                </c:pt>
              </c:numCache>
            </c:numRef>
          </c:val>
          <c:extLst>
            <c:ext xmlns:c16="http://schemas.microsoft.com/office/drawing/2014/chart" uri="{C3380CC4-5D6E-409C-BE32-E72D297353CC}">
              <c16:uniqueId val="{00000007-04EF-4762-A925-B7CF506CE11A}"/>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o300kW'!$K$140</c:f>
              <c:strCache>
                <c:ptCount val="1"/>
                <c:pt idx="0">
                  <c:v>Total income</c:v>
                </c:pt>
              </c:strCache>
            </c:strRef>
          </c:tx>
          <c:spPr>
            <a:solidFill>
              <a:srgbClr val="087CBB"/>
            </a:solidFill>
            <a:ln>
              <a:solidFill>
                <a:schemeClr val="accent1"/>
              </a:solidFill>
            </a:ln>
          </c:spPr>
          <c:invertIfNegative val="0"/>
          <c:cat>
            <c:strRef>
              <c:f>'NSWOS demersal u24m o300kW'!$L$139:$N$139</c:f>
              <c:strCache>
                <c:ptCount val="3"/>
                <c:pt idx="0">
                  <c:v>Most
profitable
quartile</c:v>
                </c:pt>
                <c:pt idx="1">
                  <c:v>Middle
two quartiles</c:v>
                </c:pt>
                <c:pt idx="2">
                  <c:v>Least
profitable
quartile</c:v>
                </c:pt>
              </c:strCache>
            </c:strRef>
          </c:cat>
          <c:val>
            <c:numRef>
              <c:f>'NSWOS demersal u24m o300kW'!$L$140:$N$140</c:f>
              <c:numCache>
                <c:formatCode>#,##0</c:formatCode>
                <c:ptCount val="3"/>
                <c:pt idx="0">
                  <c:v>1532.5528750000001</c:v>
                </c:pt>
                <c:pt idx="1">
                  <c:v>1041.2694375000001</c:v>
                </c:pt>
                <c:pt idx="2">
                  <c:v>972.91256250000004</c:v>
                </c:pt>
              </c:numCache>
            </c:numRef>
          </c:val>
          <c:extLst>
            <c:ext xmlns:c16="http://schemas.microsoft.com/office/drawing/2014/chart" uri="{C3380CC4-5D6E-409C-BE32-E72D297353CC}">
              <c16:uniqueId val="{00000000-BE15-45B1-A57F-588B7DCA043B}"/>
            </c:ext>
          </c:extLst>
        </c:ser>
        <c:ser>
          <c:idx val="1"/>
          <c:order val="1"/>
          <c:tx>
            <c:strRef>
              <c:f>'NSWOS demersal u24m o300kW'!$K$141</c:f>
              <c:strCache>
                <c:ptCount val="1"/>
                <c:pt idx="0">
                  <c:v>Operating costs</c:v>
                </c:pt>
              </c:strCache>
            </c:strRef>
          </c:tx>
          <c:spPr>
            <a:solidFill>
              <a:srgbClr val="E87308"/>
            </a:solidFill>
          </c:spPr>
          <c:invertIfNegative val="0"/>
          <c:cat>
            <c:strRef>
              <c:f>'NSWOS demersal u24m o300kW'!$L$139:$N$139</c:f>
              <c:strCache>
                <c:ptCount val="3"/>
                <c:pt idx="0">
                  <c:v>Most
profitable
quartile</c:v>
                </c:pt>
                <c:pt idx="1">
                  <c:v>Middle
two quartiles</c:v>
                </c:pt>
                <c:pt idx="2">
                  <c:v>Least
profitable
quartile</c:v>
                </c:pt>
              </c:strCache>
            </c:strRef>
          </c:cat>
          <c:val>
            <c:numRef>
              <c:f>'NSWOS demersal u24m o300kW'!$L$141:$N$141</c:f>
              <c:numCache>
                <c:formatCode>#,##0</c:formatCode>
                <c:ptCount val="3"/>
                <c:pt idx="0">
                  <c:v>1169.7864999999999</c:v>
                </c:pt>
                <c:pt idx="1">
                  <c:v>881.10015625000005</c:v>
                </c:pt>
                <c:pt idx="2">
                  <c:v>883.57493750000003</c:v>
                </c:pt>
              </c:numCache>
            </c:numRef>
          </c:val>
          <c:extLst>
            <c:ext xmlns:c16="http://schemas.microsoft.com/office/drawing/2014/chart" uri="{C3380CC4-5D6E-409C-BE32-E72D297353CC}">
              <c16:uniqueId val="{00000001-BE15-45B1-A57F-588B7DCA043B}"/>
            </c:ext>
          </c:extLst>
        </c:ser>
        <c:ser>
          <c:idx val="2"/>
          <c:order val="2"/>
          <c:tx>
            <c:strRef>
              <c:f>'NSWOS demersal u24m o300kW'!$K$142</c:f>
              <c:strCache>
                <c:ptCount val="1"/>
                <c:pt idx="0">
                  <c:v>Operating profit</c:v>
                </c:pt>
              </c:strCache>
            </c:strRef>
          </c:tx>
          <c:spPr>
            <a:solidFill>
              <a:srgbClr val="51AA81"/>
            </a:solidFill>
          </c:spPr>
          <c:invertIfNegative val="0"/>
          <c:cat>
            <c:strRef>
              <c:f>'NSWOS demersal u24m o300kW'!$L$139:$N$139</c:f>
              <c:strCache>
                <c:ptCount val="3"/>
                <c:pt idx="0">
                  <c:v>Most
profitable
quartile</c:v>
                </c:pt>
                <c:pt idx="1">
                  <c:v>Middle
two quartiles</c:v>
                </c:pt>
                <c:pt idx="2">
                  <c:v>Least
profitable
quartile</c:v>
                </c:pt>
              </c:strCache>
            </c:strRef>
          </c:cat>
          <c:val>
            <c:numRef>
              <c:f>'NSWOS demersal u24m o300kW'!$L$142:$N$142</c:f>
              <c:numCache>
                <c:formatCode>#,##0</c:formatCode>
                <c:ptCount val="3"/>
                <c:pt idx="0">
                  <c:v>362.76637499999998</c:v>
                </c:pt>
                <c:pt idx="1">
                  <c:v>160.16928125000001</c:v>
                </c:pt>
                <c:pt idx="2">
                  <c:v>89.337625000000003</c:v>
                </c:pt>
              </c:numCache>
            </c:numRef>
          </c:val>
          <c:extLst>
            <c:ext xmlns:c16="http://schemas.microsoft.com/office/drawing/2014/chart" uri="{C3380CC4-5D6E-409C-BE32-E72D297353CC}">
              <c16:uniqueId val="{00000002-BE15-45B1-A57F-588B7DCA043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u24m o300kW'!$K$143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u300kW'!$A$49</c:f>
          <c:strCache>
            <c:ptCount val="1"/>
            <c:pt idx="0">
              <c:v>Landings per kW day at sea (kg)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BDA-45ED-9435-AD71E7330E72}"/>
              </c:ext>
            </c:extLst>
          </c:dPt>
          <c:dPt>
            <c:idx val="10"/>
            <c:bubble3D val="0"/>
            <c:spPr>
              <a:ln w="57150">
                <a:solidFill>
                  <a:srgbClr val="2273B9"/>
                </a:solidFill>
                <a:prstDash val="sysDot"/>
              </a:ln>
            </c:spPr>
            <c:extLst>
              <c:ext xmlns:c16="http://schemas.microsoft.com/office/drawing/2014/chart" uri="{C3380CC4-5D6E-409C-BE32-E72D297353CC}">
                <c16:uniqueId val="{00000003-BBDA-45ED-9435-AD71E7330E72}"/>
              </c:ext>
            </c:extLst>
          </c:dPt>
          <c:cat>
            <c:numRef>
              <c:f>'NSWOS demersal u24m u300kW'!$D$2:$N$2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u300kW'!$D$22:$N$22</c:f>
              <c:numCache>
                <c:formatCode>#,##0.00</c:formatCode>
                <c:ptCount val="11"/>
                <c:pt idx="0">
                  <c:v>7.6653301368914653</c:v>
                </c:pt>
                <c:pt idx="1">
                  <c:v>7.9114962639964865</c:v>
                </c:pt>
                <c:pt idx="2">
                  <c:v>4.9696754209153182</c:v>
                </c:pt>
                <c:pt idx="3">
                  <c:v>3.9697490227701131</c:v>
                </c:pt>
                <c:pt idx="4">
                  <c:v>4.6242700814748918</c:v>
                </c:pt>
                <c:pt idx="5">
                  <c:v>4.4578426280563193</c:v>
                </c:pt>
                <c:pt idx="6">
                  <c:v>4.7330681450512442</c:v>
                </c:pt>
                <c:pt idx="7">
                  <c:v>3.7099456485360918</c:v>
                </c:pt>
                <c:pt idx="8">
                  <c:v>3.8839985959231096</c:v>
                </c:pt>
                <c:pt idx="9">
                  <c:v>3.6391768715301489</c:v>
                </c:pt>
                <c:pt idx="10">
                  <c:v>3.4563916097800402</c:v>
                </c:pt>
              </c:numCache>
            </c:numRef>
          </c:val>
          <c:smooth val="0"/>
          <c:extLst>
            <c:ext xmlns:c16="http://schemas.microsoft.com/office/drawing/2014/chart" uri="{C3380CC4-5D6E-409C-BE32-E72D297353CC}">
              <c16:uniqueId val="{00000004-BBDA-45ED-9435-AD71E7330E72}"/>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u300kW'!$A$50</c:f>
          <c:strCache>
            <c:ptCount val="1"/>
            <c:pt idx="0">
              <c:v>Fishing income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8538-4600-9DDB-E118EDDC56C7}"/>
              </c:ext>
            </c:extLst>
          </c:dPt>
          <c:dPt>
            <c:idx val="10"/>
            <c:bubble3D val="0"/>
            <c:spPr>
              <a:ln w="57150">
                <a:solidFill>
                  <a:srgbClr val="648C2E"/>
                </a:solidFill>
                <a:prstDash val="sysDot"/>
              </a:ln>
            </c:spPr>
            <c:extLst>
              <c:ext xmlns:c16="http://schemas.microsoft.com/office/drawing/2014/chart" uri="{C3380CC4-5D6E-409C-BE32-E72D297353CC}">
                <c16:uniqueId val="{00000003-8538-4600-9DDB-E118EDDC56C7}"/>
              </c:ext>
            </c:extLst>
          </c:dPt>
          <c:cat>
            <c:numRef>
              <c:f>'NSWOS demersal u24m u300kW'!$D$2:$N$2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u300kW'!$D$23:$N$23</c:f>
              <c:numCache>
                <c:formatCode>#,##0.00</c:formatCode>
                <c:ptCount val="11"/>
                <c:pt idx="0">
                  <c:v>13.132633776957601</c:v>
                </c:pt>
                <c:pt idx="1">
                  <c:v>12.389387923866099</c:v>
                </c:pt>
                <c:pt idx="2">
                  <c:v>10.384959545513601</c:v>
                </c:pt>
                <c:pt idx="3">
                  <c:v>9.0902187964800696</c:v>
                </c:pt>
                <c:pt idx="4">
                  <c:v>12.706661272257801</c:v>
                </c:pt>
                <c:pt idx="5">
                  <c:v>14.388663397006001</c:v>
                </c:pt>
                <c:pt idx="6">
                  <c:v>13.208185361851401</c:v>
                </c:pt>
                <c:pt idx="7">
                  <c:v>11.8913743538721</c:v>
                </c:pt>
                <c:pt idx="8">
                  <c:v>8.5006191173714694</c:v>
                </c:pt>
                <c:pt idx="9">
                  <c:v>8.5245899237683709</c:v>
                </c:pt>
                <c:pt idx="10">
                  <c:v>10.584604346240233</c:v>
                </c:pt>
              </c:numCache>
            </c:numRef>
          </c:val>
          <c:smooth val="0"/>
          <c:extLst>
            <c:ext xmlns:c16="http://schemas.microsoft.com/office/drawing/2014/chart" uri="{C3380CC4-5D6E-409C-BE32-E72D297353CC}">
              <c16:uniqueId val="{00000004-8538-4600-9DDB-E118EDDC56C7}"/>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u300kW'!$B$63</c:f>
          <c:strCache>
            <c:ptCount val="1"/>
            <c:pt idx="0">
              <c:v>Total cost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E02-4160-BD2B-F22304500EF6}"/>
              </c:ext>
            </c:extLst>
          </c:dPt>
          <c:dPt>
            <c:idx val="10"/>
            <c:bubble3D val="0"/>
            <c:spPr>
              <a:ln w="57150">
                <a:solidFill>
                  <a:srgbClr val="087CBB"/>
                </a:solidFill>
                <a:prstDash val="sysDot"/>
              </a:ln>
            </c:spPr>
            <c:extLst>
              <c:ext xmlns:c16="http://schemas.microsoft.com/office/drawing/2014/chart" uri="{C3380CC4-5D6E-409C-BE32-E72D297353CC}">
                <c16:uniqueId val="{00000003-3E02-4160-BD2B-F22304500EF6}"/>
              </c:ext>
            </c:extLst>
          </c:dPt>
          <c:cat>
            <c:numRef>
              <c:f>'NSWOS demersal u24m u300kW'!$D$2:$N$2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u300kW'!$D$24:$N$24</c:f>
              <c:numCache>
                <c:formatCode>#,##0.00</c:formatCode>
                <c:ptCount val="11"/>
                <c:pt idx="0">
                  <c:v>12.813905789609301</c:v>
                </c:pt>
                <c:pt idx="1">
                  <c:v>11.6496974856259</c:v>
                </c:pt>
                <c:pt idx="2">
                  <c:v>9.7175417068095005</c:v>
                </c:pt>
                <c:pt idx="3">
                  <c:v>8.1421535064999606</c:v>
                </c:pt>
                <c:pt idx="4">
                  <c:v>10.6980660692493</c:v>
                </c:pt>
                <c:pt idx="5">
                  <c:v>13.808357795191201</c:v>
                </c:pt>
                <c:pt idx="6">
                  <c:v>13.011347674766601</c:v>
                </c:pt>
                <c:pt idx="7">
                  <c:v>11.346405775111</c:v>
                </c:pt>
                <c:pt idx="8">
                  <c:v>8.4652881165436593</c:v>
                </c:pt>
                <c:pt idx="9">
                  <c:v>9.48621840826981</c:v>
                </c:pt>
                <c:pt idx="10">
                  <c:v>10.649640872863515</c:v>
                </c:pt>
              </c:numCache>
            </c:numRef>
          </c:val>
          <c:smooth val="0"/>
          <c:extLst>
            <c:ext xmlns:c16="http://schemas.microsoft.com/office/drawing/2014/chart" uri="{C3380CC4-5D6E-409C-BE32-E72D297353CC}">
              <c16:uniqueId val="{00000004-3E02-4160-BD2B-F22304500EF6}"/>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u300kW'!$K$49</c:f>
          <c:strCache>
            <c:ptCount val="1"/>
            <c:pt idx="0">
              <c:v>Operating profit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A77F-424D-8C3B-8188AE26E33C}"/>
              </c:ext>
            </c:extLst>
          </c:dPt>
          <c:dPt>
            <c:idx val="10"/>
            <c:bubble3D val="0"/>
            <c:spPr>
              <a:ln w="57150">
                <a:solidFill>
                  <a:schemeClr val="accent3"/>
                </a:solidFill>
                <a:prstDash val="sysDot"/>
              </a:ln>
            </c:spPr>
            <c:extLst>
              <c:ext xmlns:c16="http://schemas.microsoft.com/office/drawing/2014/chart" uri="{C3380CC4-5D6E-409C-BE32-E72D297353CC}">
                <c16:uniqueId val="{00000003-A77F-424D-8C3B-8188AE26E33C}"/>
              </c:ext>
            </c:extLst>
          </c:dPt>
          <c:cat>
            <c:numRef>
              <c:f>'NSWOS demersal u24m u300kW'!$D$2:$N$2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'NSWOS demersal u24m u300kW'!$D$25:$N$25</c:f>
              <c:numCache>
                <c:formatCode>#,##0.00</c:formatCode>
                <c:ptCount val="11"/>
                <c:pt idx="0">
                  <c:v>2.6457402317410201</c:v>
                </c:pt>
                <c:pt idx="1">
                  <c:v>2.0594293344537999</c:v>
                </c:pt>
                <c:pt idx="2">
                  <c:v>1.5697664997623499</c:v>
                </c:pt>
                <c:pt idx="3">
                  <c:v>1.55172764910786</c:v>
                </c:pt>
                <c:pt idx="4">
                  <c:v>2.0597417838097298</c:v>
                </c:pt>
                <c:pt idx="5">
                  <c:v>5.3059582488121801</c:v>
                </c:pt>
                <c:pt idx="6">
                  <c:v>2.0778684725910201</c:v>
                </c:pt>
                <c:pt idx="7">
                  <c:v>0.74524253299959298</c:v>
                </c:pt>
                <c:pt idx="8">
                  <c:v>0.30815203942161201</c:v>
                </c:pt>
                <c:pt idx="9">
                  <c:v>-0.47686434043843401</c:v>
                </c:pt>
                <c:pt idx="10">
                  <c:v>0.11322887021030505</c:v>
                </c:pt>
              </c:numCache>
            </c:numRef>
          </c:val>
          <c:smooth val="0"/>
          <c:extLst>
            <c:ext xmlns:c16="http://schemas.microsoft.com/office/drawing/2014/chart" uri="{C3380CC4-5D6E-409C-BE32-E72D297353CC}">
              <c16:uniqueId val="{00000004-A77F-424D-8C3B-8188AE26E33C}"/>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u300kW'!$A$51</c:f>
          <c:strCache>
            <c:ptCount val="1"/>
            <c:pt idx="0">
              <c:v>Average price per tonne landed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728F-4090-BC7C-3C9CF8E63D3D}"/>
              </c:ext>
            </c:extLst>
          </c:dPt>
          <c:dPt>
            <c:idx val="10"/>
            <c:bubble3D val="0"/>
            <c:spPr>
              <a:ln w="57150">
                <a:solidFill>
                  <a:schemeClr val="accent4"/>
                </a:solidFill>
                <a:prstDash val="sysDot"/>
              </a:ln>
            </c:spPr>
            <c:extLst>
              <c:ext xmlns:c16="http://schemas.microsoft.com/office/drawing/2014/chart" uri="{C3380CC4-5D6E-409C-BE32-E72D297353CC}">
                <c16:uniqueId val="{00000003-728F-4090-BC7C-3C9CF8E63D3D}"/>
              </c:ext>
            </c:extLst>
          </c:dPt>
          <c:cat>
            <c:numRef>
              <c:f>'NSWOS demersal u24m u300kW'!$D$2:$M$2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u300kW'!$D$21:$N$21</c:f>
              <c:numCache>
                <c:formatCode>#,##0</c:formatCode>
                <c:ptCount val="11"/>
                <c:pt idx="0">
                  <c:v>1713</c:v>
                </c:pt>
                <c:pt idx="1">
                  <c:v>1566</c:v>
                </c:pt>
                <c:pt idx="2">
                  <c:v>2090</c:v>
                </c:pt>
                <c:pt idx="3">
                  <c:v>2290</c:v>
                </c:pt>
                <c:pt idx="4">
                  <c:v>2748</c:v>
                </c:pt>
                <c:pt idx="5">
                  <c:v>3228</c:v>
                </c:pt>
                <c:pt idx="6">
                  <c:v>2791</c:v>
                </c:pt>
                <c:pt idx="7">
                  <c:v>3205</c:v>
                </c:pt>
                <c:pt idx="8">
                  <c:v>2189</c:v>
                </c:pt>
                <c:pt idx="9">
                  <c:v>2342</c:v>
                </c:pt>
                <c:pt idx="10">
                  <c:v>3062</c:v>
                </c:pt>
              </c:numCache>
            </c:numRef>
          </c:val>
          <c:smooth val="0"/>
          <c:extLst>
            <c:ext xmlns:c16="http://schemas.microsoft.com/office/drawing/2014/chart" uri="{C3380CC4-5D6E-409C-BE32-E72D297353CC}">
              <c16:uniqueId val="{00000004-728F-4090-BC7C-3C9CF8E63D3D}"/>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o250kW'!$C$93</c:f>
              <c:strCache>
                <c:ptCount val="1"/>
                <c:pt idx="0">
                  <c:v>Nephrops</c:v>
                </c:pt>
              </c:strCache>
            </c:strRef>
          </c:tx>
          <c:spPr>
            <a:solidFill>
              <a:srgbClr val="2273B9"/>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o250kW'!$D$93:$M$93</c:f>
              <c:numCache>
                <c:formatCode>0%</c:formatCode>
                <c:ptCount val="10"/>
                <c:pt idx="0">
                  <c:v>0.85618417137340519</c:v>
                </c:pt>
                <c:pt idx="1">
                  <c:v>0.89523202079674202</c:v>
                </c:pt>
                <c:pt idx="2">
                  <c:v>0.90538709198932132</c:v>
                </c:pt>
                <c:pt idx="3">
                  <c:v>0.90801856381936086</c:v>
                </c:pt>
                <c:pt idx="4">
                  <c:v>0.88936428511554599</c:v>
                </c:pt>
                <c:pt idx="5">
                  <c:v>0.85324076417206496</c:v>
                </c:pt>
                <c:pt idx="6">
                  <c:v>0.91657921392830921</c:v>
                </c:pt>
                <c:pt idx="7">
                  <c:v>0.92341228690734312</c:v>
                </c:pt>
                <c:pt idx="8">
                  <c:v>0.92250492743235979</c:v>
                </c:pt>
                <c:pt idx="9">
                  <c:v>0.94174812189957813</c:v>
                </c:pt>
              </c:numCache>
            </c:numRef>
          </c:val>
          <c:extLst>
            <c:ext xmlns:c16="http://schemas.microsoft.com/office/drawing/2014/chart" uri="{C3380CC4-5D6E-409C-BE32-E72D297353CC}">
              <c16:uniqueId val="{00000000-FE61-4442-9A6C-2F5A99F59D37}"/>
            </c:ext>
          </c:extLst>
        </c:ser>
        <c:ser>
          <c:idx val="1"/>
          <c:order val="1"/>
          <c:tx>
            <c:strRef>
              <c:f>'Area VIIa nephrops o250kW'!$C$94</c:f>
              <c:strCache>
                <c:ptCount val="1"/>
                <c:pt idx="0">
                  <c:v>Anglerfish</c:v>
                </c:pt>
              </c:strCache>
            </c:strRef>
          </c:tx>
          <c:spPr>
            <a:solidFill>
              <a:srgbClr val="E87308"/>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o250kW'!$D$94:$M$94</c:f>
              <c:numCache>
                <c:formatCode>0%</c:formatCode>
                <c:ptCount val="10"/>
                <c:pt idx="0">
                  <c:v>2.8196673500769938E-2</c:v>
                </c:pt>
                <c:pt idx="1">
                  <c:v>2.71442427934948E-2</c:v>
                </c:pt>
                <c:pt idx="2">
                  <c:v>1.7377771930080096E-2</c:v>
                </c:pt>
                <c:pt idx="3">
                  <c:v>2.7994843155328089E-2</c:v>
                </c:pt>
                <c:pt idx="4">
                  <c:v>3.5561311414411607E-2</c:v>
                </c:pt>
                <c:pt idx="5">
                  <c:v>3.393530712684479E-2</c:v>
                </c:pt>
                <c:pt idx="6">
                  <c:v>2.0837221722469889E-2</c:v>
                </c:pt>
                <c:pt idx="7">
                  <c:v>2.21296387436297E-2</c:v>
                </c:pt>
                <c:pt idx="8">
                  <c:v>2.5606842880161743E-2</c:v>
                </c:pt>
                <c:pt idx="9">
                  <c:v>1.2863417708517165E-2</c:v>
                </c:pt>
              </c:numCache>
            </c:numRef>
          </c:val>
          <c:extLst>
            <c:ext xmlns:c16="http://schemas.microsoft.com/office/drawing/2014/chart" uri="{C3380CC4-5D6E-409C-BE32-E72D297353CC}">
              <c16:uniqueId val="{00000001-FE61-4442-9A6C-2F5A99F59D37}"/>
            </c:ext>
          </c:extLst>
        </c:ser>
        <c:ser>
          <c:idx val="2"/>
          <c:order val="2"/>
          <c:tx>
            <c:strRef>
              <c:f>'Area VIIa nephrops o250kW'!$C$95</c:f>
              <c:strCache>
                <c:ptCount val="1"/>
                <c:pt idx="0">
                  <c:v>Les. Spot. Dog</c:v>
                </c:pt>
              </c:strCache>
            </c:strRef>
          </c:tx>
          <c:spPr>
            <a:solidFill>
              <a:srgbClr val="648C2E"/>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o250kW'!$D$95:$M$95</c:f>
              <c:numCache>
                <c:formatCode>0%</c:formatCode>
                <c:ptCount val="10"/>
                <c:pt idx="4">
                  <c:v>6.7917748800742431E-3</c:v>
                </c:pt>
                <c:pt idx="7">
                  <c:v>1.3112109127127163E-2</c:v>
                </c:pt>
                <c:pt idx="8">
                  <c:v>1.0012003347983543E-2</c:v>
                </c:pt>
                <c:pt idx="9">
                  <c:v>7.836107337123966E-3</c:v>
                </c:pt>
              </c:numCache>
            </c:numRef>
          </c:val>
          <c:extLst>
            <c:ext xmlns:c16="http://schemas.microsoft.com/office/drawing/2014/chart" uri="{C3380CC4-5D6E-409C-BE32-E72D297353CC}">
              <c16:uniqueId val="{00000002-FE61-4442-9A6C-2F5A99F59D37}"/>
            </c:ext>
          </c:extLst>
        </c:ser>
        <c:ser>
          <c:idx val="3"/>
          <c:order val="3"/>
          <c:tx>
            <c:strRef>
              <c:f>'Area VIIa nephrops o250kW'!$C$96</c:f>
              <c:strCache>
                <c:ptCount val="1"/>
                <c:pt idx="0">
                  <c:v>Sole</c:v>
                </c:pt>
              </c:strCache>
            </c:strRef>
          </c:tx>
          <c:spPr>
            <a:solidFill>
              <a:srgbClr val="C1D119"/>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o250kW'!$D$96:$M$96</c:f>
              <c:numCache>
                <c:formatCode>0%</c:formatCode>
                <c:ptCount val="10"/>
                <c:pt idx="8">
                  <c:v>7.8998443850422269E-3</c:v>
                </c:pt>
                <c:pt idx="9">
                  <c:v>6.6972679394139241E-3</c:v>
                </c:pt>
              </c:numCache>
            </c:numRef>
          </c:val>
          <c:extLst>
            <c:ext xmlns:c16="http://schemas.microsoft.com/office/drawing/2014/chart" uri="{C3380CC4-5D6E-409C-BE32-E72D297353CC}">
              <c16:uniqueId val="{00000003-FE61-4442-9A6C-2F5A99F59D37}"/>
            </c:ext>
          </c:extLst>
        </c:ser>
        <c:ser>
          <c:idx val="4"/>
          <c:order val="4"/>
          <c:tx>
            <c:strRef>
              <c:f>'Area VIIa nephrops o250kW'!$C$97</c:f>
              <c:strCache>
                <c:ptCount val="1"/>
                <c:pt idx="0">
                  <c:v>Haddock</c:v>
                </c:pt>
              </c:strCache>
            </c:strRef>
          </c:tx>
          <c:spPr>
            <a:solidFill>
              <a:srgbClr val="E84A38"/>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o250kW'!$D$97:$M$97</c:f>
              <c:numCache>
                <c:formatCode>0%</c:formatCode>
                <c:ptCount val="10"/>
                <c:pt idx="0">
                  <c:v>1.5225513977781598E-2</c:v>
                </c:pt>
                <c:pt idx="1">
                  <c:v>1.2621824392172899E-2</c:v>
                </c:pt>
                <c:pt idx="2">
                  <c:v>2.4752147455914617E-2</c:v>
                </c:pt>
                <c:pt idx="3">
                  <c:v>2.9590890157459349E-2</c:v>
                </c:pt>
                <c:pt idx="4">
                  <c:v>2.4221577086801307E-2</c:v>
                </c:pt>
                <c:pt idx="5">
                  <c:v>3.2961328987526184E-2</c:v>
                </c:pt>
                <c:pt idx="6">
                  <c:v>1.945415772381268E-2</c:v>
                </c:pt>
                <c:pt idx="7">
                  <c:v>1.0641962547819343E-2</c:v>
                </c:pt>
                <c:pt idx="8">
                  <c:v>7.8214778119099146E-3</c:v>
                </c:pt>
              </c:numCache>
            </c:numRef>
          </c:val>
          <c:extLst>
            <c:ext xmlns:c16="http://schemas.microsoft.com/office/drawing/2014/chart" uri="{C3380CC4-5D6E-409C-BE32-E72D297353CC}">
              <c16:uniqueId val="{00000004-FE61-4442-9A6C-2F5A99F59D37}"/>
            </c:ext>
          </c:extLst>
        </c:ser>
        <c:ser>
          <c:idx val="5"/>
          <c:order val="5"/>
          <c:tx>
            <c:strRef>
              <c:f>'Area VIIa nephrops o250kW'!$C$98</c:f>
              <c:strCache>
                <c:ptCount val="1"/>
                <c:pt idx="0">
                  <c:v>Hake</c:v>
                </c:pt>
              </c:strCache>
            </c:strRef>
          </c:tx>
          <c:spPr>
            <a:solidFill>
              <a:srgbClr val="0F9AA9"/>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o250kW'!$D$98:$M$98</c:f>
              <c:numCache>
                <c:formatCode>0%</c:formatCode>
                <c:ptCount val="10"/>
                <c:pt idx="2">
                  <c:v>1.3695671589830297E-2</c:v>
                </c:pt>
                <c:pt idx="9">
                  <c:v>7.0020094343529096E-3</c:v>
                </c:pt>
              </c:numCache>
            </c:numRef>
          </c:val>
          <c:extLst>
            <c:ext xmlns:c16="http://schemas.microsoft.com/office/drawing/2014/chart" uri="{C3380CC4-5D6E-409C-BE32-E72D297353CC}">
              <c16:uniqueId val="{00000005-FE61-4442-9A6C-2F5A99F59D37}"/>
            </c:ext>
          </c:extLst>
        </c:ser>
        <c:ser>
          <c:idx val="6"/>
          <c:order val="6"/>
          <c:tx>
            <c:strRef>
              <c:f>'Area VIIa nephrops o250kW'!$C$99</c:f>
              <c:strCache>
                <c:ptCount val="1"/>
                <c:pt idx="0">
                  <c:v>Cod</c:v>
                </c:pt>
              </c:strCache>
            </c:strRef>
          </c:tx>
          <c:spPr>
            <a:solidFill>
              <a:srgbClr val="FED825"/>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o250kW'!$D$99:$M$99</c:f>
              <c:numCache>
                <c:formatCode>0%</c:formatCode>
                <c:ptCount val="10"/>
                <c:pt idx="0">
                  <c:v>2.5935553367110113E-2</c:v>
                </c:pt>
                <c:pt idx="1">
                  <c:v>1.7462817663215741E-2</c:v>
                </c:pt>
                <c:pt idx="6">
                  <c:v>6.9360240115864764E-3</c:v>
                </c:pt>
                <c:pt idx="7">
                  <c:v>7.8608478907203731E-3</c:v>
                </c:pt>
              </c:numCache>
            </c:numRef>
          </c:val>
          <c:extLst>
            <c:ext xmlns:c16="http://schemas.microsoft.com/office/drawing/2014/chart" uri="{C3380CC4-5D6E-409C-BE32-E72D297353CC}">
              <c16:uniqueId val="{00000006-FE61-4442-9A6C-2F5A99F59D37}"/>
            </c:ext>
          </c:extLst>
        </c:ser>
        <c:ser>
          <c:idx val="7"/>
          <c:order val="7"/>
          <c:tx>
            <c:strRef>
              <c:f>'Area VIIa nephrops o250kW'!$C$100</c:f>
              <c:strCache>
                <c:ptCount val="1"/>
                <c:pt idx="0">
                  <c:v>Cuttlefish</c:v>
                </c:pt>
              </c:strCache>
            </c:strRef>
          </c:tx>
          <c:spPr>
            <a:solidFill>
              <a:srgbClr val="707271"/>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o250kW'!$D$100:$M$100</c:f>
              <c:numCache>
                <c:formatCode>0%</c:formatCode>
                <c:ptCount val="10"/>
                <c:pt idx="4">
                  <c:v>1.4326798435040594E-2</c:v>
                </c:pt>
                <c:pt idx="5">
                  <c:v>1.8621805524161972E-2</c:v>
                </c:pt>
                <c:pt idx="6">
                  <c:v>8.2859654031980506E-3</c:v>
                </c:pt>
              </c:numCache>
            </c:numRef>
          </c:val>
          <c:extLst>
            <c:ext xmlns:c16="http://schemas.microsoft.com/office/drawing/2014/chart" uri="{C3380CC4-5D6E-409C-BE32-E72D297353CC}">
              <c16:uniqueId val="{00000007-FE61-4442-9A6C-2F5A99F59D37}"/>
            </c:ext>
          </c:extLst>
        </c:ser>
        <c:ser>
          <c:idx val="8"/>
          <c:order val="8"/>
          <c:tx>
            <c:strRef>
              <c:f>'Area VIIa nephrops o250kW'!$C$101</c:f>
              <c:strCache>
                <c:ptCount val="1"/>
                <c:pt idx="0">
                  <c:v>Squid</c:v>
                </c:pt>
              </c:strCache>
            </c:strRef>
          </c:tx>
          <c:spPr>
            <a:solidFill>
              <a:srgbClr val="51AA81"/>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o250kW'!$D$101:$M$101</c:f>
              <c:numCache>
                <c:formatCode>0%</c:formatCode>
                <c:ptCount val="10"/>
                <c:pt idx="5">
                  <c:v>9.5386663454149808E-3</c:v>
                </c:pt>
              </c:numCache>
            </c:numRef>
          </c:val>
          <c:extLst>
            <c:ext xmlns:c16="http://schemas.microsoft.com/office/drawing/2014/chart" uri="{C3380CC4-5D6E-409C-BE32-E72D297353CC}">
              <c16:uniqueId val="{00000008-FE61-4442-9A6C-2F5A99F59D37}"/>
            </c:ext>
          </c:extLst>
        </c:ser>
        <c:ser>
          <c:idx val="9"/>
          <c:order val="9"/>
          <c:tx>
            <c:strRef>
              <c:f>'Area VIIa nephrops o250kW'!$C$102</c:f>
              <c:strCache>
                <c:ptCount val="1"/>
                <c:pt idx="0">
                  <c:v>Thornback Ray</c:v>
                </c:pt>
              </c:strCache>
            </c:strRef>
          </c:tx>
          <c:spPr>
            <a:solidFill>
              <a:srgbClr val="169FDB"/>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o250kW'!$D$102:$M$102</c:f>
              <c:numCache>
                <c:formatCode>0%</c:formatCode>
                <c:ptCount val="10"/>
                <c:pt idx="1">
                  <c:v>7.5468996857039417E-3</c:v>
                </c:pt>
                <c:pt idx="2">
                  <c:v>6.775669790932505E-3</c:v>
                </c:pt>
                <c:pt idx="3">
                  <c:v>3.9668573181150203E-3</c:v>
                </c:pt>
              </c:numCache>
            </c:numRef>
          </c:val>
          <c:extLst>
            <c:ext xmlns:c16="http://schemas.microsoft.com/office/drawing/2014/chart" uri="{C3380CC4-5D6E-409C-BE32-E72D297353CC}">
              <c16:uniqueId val="{00000009-FE61-4442-9A6C-2F5A99F59D37}"/>
            </c:ext>
          </c:extLst>
        </c:ser>
        <c:ser>
          <c:idx val="10"/>
          <c:order val="10"/>
          <c:tx>
            <c:strRef>
              <c:f>'Area VIIa nephrops o250kW'!$C$103</c:f>
              <c:strCache>
                <c:ptCount val="1"/>
                <c:pt idx="0">
                  <c:v>Turbot</c:v>
                </c:pt>
              </c:strCache>
            </c:strRef>
          </c:tx>
          <c:spPr>
            <a:solidFill>
              <a:srgbClr val="E40D2C"/>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o250kW'!$D$103:$M$103</c:f>
              <c:numCache>
                <c:formatCode>0%</c:formatCode>
                <c:ptCount val="10"/>
                <c:pt idx="3">
                  <c:v>3.9388529449838373E-3</c:v>
                </c:pt>
              </c:numCache>
            </c:numRef>
          </c:val>
          <c:extLst>
            <c:ext xmlns:c16="http://schemas.microsoft.com/office/drawing/2014/chart" uri="{C3380CC4-5D6E-409C-BE32-E72D297353CC}">
              <c16:uniqueId val="{0000000A-FE61-4442-9A6C-2F5A99F59D37}"/>
            </c:ext>
          </c:extLst>
        </c:ser>
        <c:ser>
          <c:idx val="11"/>
          <c:order val="11"/>
          <c:tx>
            <c:strRef>
              <c:f>'Area VIIa nephrops o250kW'!$C$104</c:f>
              <c:strCache>
                <c:ptCount val="1"/>
                <c:pt idx="0">
                  <c:v>Queen Scallops</c:v>
                </c:pt>
              </c:strCache>
            </c:strRef>
          </c:tx>
          <c:spPr>
            <a:solidFill>
              <a:srgbClr val="B4C3E5"/>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o250kW'!$D$104:$M$104</c:f>
              <c:numCache>
                <c:formatCode>0%</c:formatCode>
                <c:ptCount val="10"/>
                <c:pt idx="0">
                  <c:v>1.2099713190350038E-2</c:v>
                </c:pt>
              </c:numCache>
            </c:numRef>
          </c:val>
          <c:extLst>
            <c:ext xmlns:c16="http://schemas.microsoft.com/office/drawing/2014/chart" uri="{C3380CC4-5D6E-409C-BE32-E72D297353CC}">
              <c16:uniqueId val="{0000000B-FE61-4442-9A6C-2F5A99F59D37}"/>
            </c:ext>
          </c:extLst>
        </c:ser>
        <c:ser>
          <c:idx val="12"/>
          <c:order val="12"/>
          <c:tx>
            <c:strRef>
              <c:f>'Area VIIa nephrops o250kW'!$C$105</c:f>
              <c:strCache>
                <c:ptCount val="1"/>
                <c:pt idx="0">
                  <c:v>Others</c:v>
                </c:pt>
              </c:strCache>
            </c:strRef>
          </c:tx>
          <c:spPr>
            <a:solidFill>
              <a:srgbClr val="55585A"/>
            </a:solidFill>
            <a:ln>
              <a:solidFill>
                <a:srgbClr val="FFFFFF"/>
              </a:solidFill>
            </a:ln>
          </c:spPr>
          <c:invertIfNegative val="0"/>
          <c:cat>
            <c:numRef>
              <c:f>'Area VIIa nephrops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o250kW'!$D$105:$M$105</c:f>
              <c:numCache>
                <c:formatCode>0%</c:formatCode>
                <c:ptCount val="10"/>
                <c:pt idx="0">
                  <c:v>6.2358374590583139E-2</c:v>
                </c:pt>
                <c:pt idx="1">
                  <c:v>3.9992194668670641E-2</c:v>
                </c:pt>
                <c:pt idx="2">
                  <c:v>3.2011647243921131E-2</c:v>
                </c:pt>
                <c:pt idx="3">
                  <c:v>2.6489992604752901E-2</c:v>
                </c:pt>
                <c:pt idx="4">
                  <c:v>2.9734253068126246E-2</c:v>
                </c:pt>
                <c:pt idx="5">
                  <c:v>5.1702127843987131E-2</c:v>
                </c:pt>
                <c:pt idx="6">
                  <c:v>2.790741721062364E-2</c:v>
                </c:pt>
                <c:pt idx="7">
                  <c:v>2.2843154783360256E-2</c:v>
                </c:pt>
                <c:pt idx="8">
                  <c:v>2.6154904142542779E-2</c:v>
                </c:pt>
                <c:pt idx="9">
                  <c:v>2.3853075681013906E-2</c:v>
                </c:pt>
              </c:numCache>
            </c:numRef>
          </c:val>
          <c:extLst>
            <c:ext xmlns:c16="http://schemas.microsoft.com/office/drawing/2014/chart" uri="{C3380CC4-5D6E-409C-BE32-E72D297353CC}">
              <c16:uniqueId val="{0000000C-FE61-4442-9A6C-2F5A99F59D3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u300kW'!$K$63</c:f>
          <c:strCache>
            <c:ptCount val="1"/>
            <c:pt idx="0">
              <c:v>Average annual operating profit per vessel (£'000)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5AE9-4E76-9016-60B1BD13BE67}"/>
              </c:ext>
            </c:extLst>
          </c:dPt>
          <c:dPt>
            <c:idx val="10"/>
            <c:bubble3D val="0"/>
            <c:spPr>
              <a:ln w="57150">
                <a:solidFill>
                  <a:schemeClr val="accent5"/>
                </a:solidFill>
                <a:prstDash val="sysDot"/>
              </a:ln>
            </c:spPr>
            <c:extLst>
              <c:ext xmlns:c16="http://schemas.microsoft.com/office/drawing/2014/chart" uri="{C3380CC4-5D6E-409C-BE32-E72D297353CC}">
                <c16:uniqueId val="{00000003-5AE9-4E76-9016-60B1BD13BE67}"/>
              </c:ext>
            </c:extLst>
          </c:dPt>
          <c:cat>
            <c:numRef>
              <c:f>'NSWOS demersal u24m u300kW'!$D$2:$M$2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u300kW'!$D$38:$N$38</c:f>
              <c:numCache>
                <c:formatCode>#,##0.0</c:formatCode>
                <c:ptCount val="11"/>
                <c:pt idx="0">
                  <c:v>59.1</c:v>
                </c:pt>
                <c:pt idx="1">
                  <c:v>55.2</c:v>
                </c:pt>
                <c:pt idx="2">
                  <c:v>36.9</c:v>
                </c:pt>
                <c:pt idx="3">
                  <c:v>38.200000000000003</c:v>
                </c:pt>
                <c:pt idx="4">
                  <c:v>58</c:v>
                </c:pt>
                <c:pt idx="5">
                  <c:v>101.5</c:v>
                </c:pt>
                <c:pt idx="6">
                  <c:v>56.7</c:v>
                </c:pt>
                <c:pt idx="7">
                  <c:v>23.4</c:v>
                </c:pt>
                <c:pt idx="8">
                  <c:v>10.5</c:v>
                </c:pt>
                <c:pt idx="9">
                  <c:v>-11.7</c:v>
                </c:pt>
                <c:pt idx="10">
                  <c:v>2.2000000000000002</c:v>
                </c:pt>
              </c:numCache>
            </c:numRef>
          </c:val>
          <c:smooth val="0"/>
          <c:extLst>
            <c:ext xmlns:c16="http://schemas.microsoft.com/office/drawing/2014/chart" uri="{C3380CC4-5D6E-409C-BE32-E72D297353CC}">
              <c16:uniqueId val="{00000004-5AE9-4E76-9016-60B1BD13BE67}"/>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u300kW'!$A$77</c:f>
          <c:strCache>
            <c:ptCount val="1"/>
            <c:pt idx="0">
              <c:v>Top 5 landed species by volume in 2021
NSWOS demersal under 24m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7E0-41D9-AACD-7D76898B1FB9}"/>
              </c:ext>
            </c:extLst>
          </c:dPt>
          <c:dPt>
            <c:idx val="1"/>
            <c:bubble3D val="0"/>
            <c:spPr>
              <a:solidFill>
                <a:srgbClr val="C1D119"/>
              </a:solidFill>
              <a:ln>
                <a:solidFill>
                  <a:srgbClr val="FFFFFF"/>
                </a:solidFill>
              </a:ln>
            </c:spPr>
            <c:extLst>
              <c:ext xmlns:c16="http://schemas.microsoft.com/office/drawing/2014/chart" uri="{C3380CC4-5D6E-409C-BE32-E72D297353CC}">
                <c16:uniqueId val="{00000003-E7E0-41D9-AACD-7D76898B1FB9}"/>
              </c:ext>
            </c:extLst>
          </c:dPt>
          <c:dPt>
            <c:idx val="2"/>
            <c:bubble3D val="0"/>
            <c:spPr>
              <a:solidFill>
                <a:srgbClr val="E87308"/>
              </a:solidFill>
              <a:ln>
                <a:solidFill>
                  <a:srgbClr val="FFFFFF"/>
                </a:solidFill>
              </a:ln>
            </c:spPr>
            <c:extLst>
              <c:ext xmlns:c16="http://schemas.microsoft.com/office/drawing/2014/chart" uri="{C3380CC4-5D6E-409C-BE32-E72D297353CC}">
                <c16:uniqueId val="{00000005-E7E0-41D9-AACD-7D76898B1FB9}"/>
              </c:ext>
            </c:extLst>
          </c:dPt>
          <c:dPt>
            <c:idx val="3"/>
            <c:bubble3D val="0"/>
            <c:spPr>
              <a:solidFill>
                <a:srgbClr val="0F9AA9"/>
              </a:solidFill>
              <a:ln>
                <a:solidFill>
                  <a:srgbClr val="FFFFFF"/>
                </a:solidFill>
              </a:ln>
            </c:spPr>
            <c:extLst>
              <c:ext xmlns:c16="http://schemas.microsoft.com/office/drawing/2014/chart" uri="{C3380CC4-5D6E-409C-BE32-E72D297353CC}">
                <c16:uniqueId val="{00000007-E7E0-41D9-AACD-7D76898B1FB9}"/>
              </c:ext>
            </c:extLst>
          </c:dPt>
          <c:dPt>
            <c:idx val="4"/>
            <c:bubble3D val="0"/>
            <c:spPr>
              <a:solidFill>
                <a:srgbClr val="648C2E"/>
              </a:solidFill>
              <a:ln>
                <a:solidFill>
                  <a:srgbClr val="FFFFFF"/>
                </a:solidFill>
              </a:ln>
            </c:spPr>
            <c:extLst>
              <c:ext xmlns:c16="http://schemas.microsoft.com/office/drawing/2014/chart" uri="{C3380CC4-5D6E-409C-BE32-E72D297353CC}">
                <c16:uniqueId val="{00000009-E7E0-41D9-AACD-7D76898B1FB9}"/>
              </c:ext>
            </c:extLst>
          </c:dPt>
          <c:dPt>
            <c:idx val="5"/>
            <c:bubble3D val="0"/>
            <c:spPr>
              <a:solidFill>
                <a:srgbClr val="55585A"/>
              </a:solidFill>
              <a:ln>
                <a:solidFill>
                  <a:srgbClr val="FFFFFF"/>
                </a:solidFill>
              </a:ln>
            </c:spPr>
            <c:extLst>
              <c:ext xmlns:c16="http://schemas.microsoft.com/office/drawing/2014/chart" uri="{C3380CC4-5D6E-409C-BE32-E72D297353CC}">
                <c16:uniqueId val="{0000000B-E7E0-41D9-AACD-7D76898B1FB9}"/>
              </c:ext>
            </c:extLst>
          </c:dPt>
          <c:cat>
            <c:strRef>
              <c:f>'NSWOS demersal u24m u300kW'!$B$78:$B$83</c:f>
              <c:strCache>
                <c:ptCount val="6"/>
                <c:pt idx="0">
                  <c:v>Anglerfish - 25.7%</c:v>
                </c:pt>
                <c:pt idx="1">
                  <c:v>Haddock - 12.2%</c:v>
                </c:pt>
                <c:pt idx="2">
                  <c:v>Cod - 10.0%</c:v>
                </c:pt>
                <c:pt idx="3">
                  <c:v>Whiting - 6.9%</c:v>
                </c:pt>
                <c:pt idx="4">
                  <c:v>Squid - 6.8%</c:v>
                </c:pt>
                <c:pt idx="5">
                  <c:v>Others - 38.4%</c:v>
                </c:pt>
              </c:strCache>
            </c:strRef>
          </c:cat>
          <c:val>
            <c:numRef>
              <c:f>'NSWOS demersal u24m u300kW'!$C$78:$C$83</c:f>
              <c:numCache>
                <c:formatCode>0.0%</c:formatCode>
                <c:ptCount val="6"/>
                <c:pt idx="0">
                  <c:v>0.25738742769534506</c:v>
                </c:pt>
                <c:pt idx="1">
                  <c:v>0.12238857837543252</c:v>
                </c:pt>
                <c:pt idx="2">
                  <c:v>9.9647442697259767E-2</c:v>
                </c:pt>
                <c:pt idx="3">
                  <c:v>6.9064333340876902E-2</c:v>
                </c:pt>
                <c:pt idx="4">
                  <c:v>6.7585118875918879E-2</c:v>
                </c:pt>
                <c:pt idx="5">
                  <c:v>0.38392709901516686</c:v>
                </c:pt>
              </c:numCache>
            </c:numRef>
          </c:val>
          <c:extLst>
            <c:ext xmlns:c16="http://schemas.microsoft.com/office/drawing/2014/chart" uri="{C3380CC4-5D6E-409C-BE32-E72D297353CC}">
              <c16:uniqueId val="{0000000C-E7E0-41D9-AACD-7D76898B1FB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u300kW'!$F$77</c:f>
          <c:strCache>
            <c:ptCount val="1"/>
            <c:pt idx="0">
              <c:v>Top 5 landed species by value in 2021
NSWOS demersal under 24m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EBB-4CE1-BEA7-EAED0291F5FD}"/>
              </c:ext>
            </c:extLst>
          </c:dPt>
          <c:dPt>
            <c:idx val="1"/>
            <c:bubble3D val="0"/>
            <c:spPr>
              <a:solidFill>
                <a:srgbClr val="E87308"/>
              </a:solidFill>
              <a:ln>
                <a:solidFill>
                  <a:srgbClr val="FFFFFF"/>
                </a:solidFill>
              </a:ln>
            </c:spPr>
            <c:extLst>
              <c:ext xmlns:c16="http://schemas.microsoft.com/office/drawing/2014/chart" uri="{C3380CC4-5D6E-409C-BE32-E72D297353CC}">
                <c16:uniqueId val="{00000003-DEBB-4CE1-BEA7-EAED0291F5FD}"/>
              </c:ext>
            </c:extLst>
          </c:dPt>
          <c:dPt>
            <c:idx val="2"/>
            <c:bubble3D val="0"/>
            <c:spPr>
              <a:solidFill>
                <a:srgbClr val="648C2E"/>
              </a:solidFill>
              <a:ln>
                <a:solidFill>
                  <a:srgbClr val="FFFFFF"/>
                </a:solidFill>
              </a:ln>
            </c:spPr>
            <c:extLst>
              <c:ext xmlns:c16="http://schemas.microsoft.com/office/drawing/2014/chart" uri="{C3380CC4-5D6E-409C-BE32-E72D297353CC}">
                <c16:uniqueId val="{00000005-DEBB-4CE1-BEA7-EAED0291F5FD}"/>
              </c:ext>
            </c:extLst>
          </c:dPt>
          <c:dPt>
            <c:idx val="3"/>
            <c:bubble3D val="0"/>
            <c:spPr>
              <a:solidFill>
                <a:srgbClr val="C1D119"/>
              </a:solidFill>
              <a:ln>
                <a:solidFill>
                  <a:srgbClr val="FFFFFF"/>
                </a:solidFill>
              </a:ln>
            </c:spPr>
            <c:extLst>
              <c:ext xmlns:c16="http://schemas.microsoft.com/office/drawing/2014/chart" uri="{C3380CC4-5D6E-409C-BE32-E72D297353CC}">
                <c16:uniqueId val="{00000007-DEBB-4CE1-BEA7-EAED0291F5FD}"/>
              </c:ext>
            </c:extLst>
          </c:dPt>
          <c:dPt>
            <c:idx val="4"/>
            <c:bubble3D val="0"/>
            <c:spPr>
              <a:solidFill>
                <a:srgbClr val="E84A38"/>
              </a:solidFill>
              <a:ln>
                <a:solidFill>
                  <a:srgbClr val="FFFFFF"/>
                </a:solidFill>
              </a:ln>
            </c:spPr>
            <c:extLst>
              <c:ext xmlns:c16="http://schemas.microsoft.com/office/drawing/2014/chart" uri="{C3380CC4-5D6E-409C-BE32-E72D297353CC}">
                <c16:uniqueId val="{00000009-DEBB-4CE1-BEA7-EAED0291F5FD}"/>
              </c:ext>
            </c:extLst>
          </c:dPt>
          <c:dPt>
            <c:idx val="5"/>
            <c:bubble3D val="0"/>
            <c:spPr>
              <a:solidFill>
                <a:srgbClr val="55585A"/>
              </a:solidFill>
              <a:ln>
                <a:solidFill>
                  <a:srgbClr val="FFFFFF"/>
                </a:solidFill>
              </a:ln>
            </c:spPr>
            <c:extLst>
              <c:ext xmlns:c16="http://schemas.microsoft.com/office/drawing/2014/chart" uri="{C3380CC4-5D6E-409C-BE32-E72D297353CC}">
                <c16:uniqueId val="{0000000B-DEBB-4CE1-BEA7-EAED0291F5FD}"/>
              </c:ext>
            </c:extLst>
          </c:dPt>
          <c:cat>
            <c:strRef>
              <c:f>'NSWOS demersal u24m u300kW'!$G$78:$G$83</c:f>
              <c:strCache>
                <c:ptCount val="6"/>
                <c:pt idx="0">
                  <c:v>Anglerfish - 30.5%</c:v>
                </c:pt>
                <c:pt idx="1">
                  <c:v>Cod - 14.4%</c:v>
                </c:pt>
                <c:pt idx="2">
                  <c:v>Squid - 12.3%</c:v>
                </c:pt>
                <c:pt idx="3">
                  <c:v>Haddock - 7.1%</c:v>
                </c:pt>
                <c:pt idx="4">
                  <c:v>Nephrops - 6.8%</c:v>
                </c:pt>
                <c:pt idx="5">
                  <c:v>Others - 29.0%</c:v>
                </c:pt>
              </c:strCache>
            </c:strRef>
          </c:cat>
          <c:val>
            <c:numRef>
              <c:f>'NSWOS demersal u24m u300kW'!$H$78:$H$83</c:f>
              <c:numCache>
                <c:formatCode>0.0%</c:formatCode>
                <c:ptCount val="6"/>
                <c:pt idx="0">
                  <c:v>0.30499489532206459</c:v>
                </c:pt>
                <c:pt idx="1">
                  <c:v>0.14371659752799407</c:v>
                </c:pt>
                <c:pt idx="2">
                  <c:v>0.12252389197833094</c:v>
                </c:pt>
                <c:pt idx="3">
                  <c:v>7.0856491584882511E-2</c:v>
                </c:pt>
                <c:pt idx="4">
                  <c:v>6.8195397095698329E-2</c:v>
                </c:pt>
                <c:pt idx="5">
                  <c:v>0.28971272649102964</c:v>
                </c:pt>
              </c:numCache>
            </c:numRef>
          </c:val>
          <c:extLst>
            <c:ext xmlns:c16="http://schemas.microsoft.com/office/drawing/2014/chart" uri="{C3380CC4-5D6E-409C-BE32-E72D297353CC}">
              <c16:uniqueId val="{0000000C-DEBB-4CE1-BEA7-EAED0291F5F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u300kW'!$C$93</c:f>
              <c:strCache>
                <c:ptCount val="1"/>
                <c:pt idx="0">
                  <c:v>Anglerfish</c:v>
                </c:pt>
              </c:strCache>
            </c:strRef>
          </c:tx>
          <c:spPr>
            <a:solidFill>
              <a:srgbClr val="2273B9"/>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u300kW'!$D$93:$M$93</c:f>
              <c:numCache>
                <c:formatCode>0%</c:formatCode>
                <c:ptCount val="10"/>
                <c:pt idx="0">
                  <c:v>7.1301246393641507E-2</c:v>
                </c:pt>
                <c:pt idx="1">
                  <c:v>0.14885821576618885</c:v>
                </c:pt>
                <c:pt idx="2">
                  <c:v>0.17859290264909811</c:v>
                </c:pt>
                <c:pt idx="3">
                  <c:v>0.28925809700612887</c:v>
                </c:pt>
                <c:pt idx="4">
                  <c:v>0.2422014697300332</c:v>
                </c:pt>
                <c:pt idx="5">
                  <c:v>0.18801928809843649</c:v>
                </c:pt>
                <c:pt idx="6">
                  <c:v>0.11662118107356652</c:v>
                </c:pt>
                <c:pt idx="7">
                  <c:v>0.22051129792584342</c:v>
                </c:pt>
                <c:pt idx="8">
                  <c:v>0.30499489532206459</c:v>
                </c:pt>
                <c:pt idx="9">
                  <c:v>0.2857917615169025</c:v>
                </c:pt>
              </c:numCache>
            </c:numRef>
          </c:val>
          <c:extLst>
            <c:ext xmlns:c16="http://schemas.microsoft.com/office/drawing/2014/chart" uri="{C3380CC4-5D6E-409C-BE32-E72D297353CC}">
              <c16:uniqueId val="{00000000-0ED6-4DD2-9510-CFAEB0742BC0}"/>
            </c:ext>
          </c:extLst>
        </c:ser>
        <c:ser>
          <c:idx val="1"/>
          <c:order val="1"/>
          <c:tx>
            <c:strRef>
              <c:f>'NSWOS demersal u24m u300kW'!$C$94</c:f>
              <c:strCache>
                <c:ptCount val="1"/>
                <c:pt idx="0">
                  <c:v>Cod</c:v>
                </c:pt>
              </c:strCache>
            </c:strRef>
          </c:tx>
          <c:spPr>
            <a:solidFill>
              <a:srgbClr val="E87308"/>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u300kW'!$D$94:$M$94</c:f>
              <c:numCache>
                <c:formatCode>0%</c:formatCode>
                <c:ptCount val="10"/>
                <c:pt idx="2">
                  <c:v>9.6503849964573757E-2</c:v>
                </c:pt>
                <c:pt idx="3">
                  <c:v>9.7419057454107325E-2</c:v>
                </c:pt>
                <c:pt idx="4">
                  <c:v>0.11162157770568339</c:v>
                </c:pt>
                <c:pt idx="5">
                  <c:v>0.19057152569603539</c:v>
                </c:pt>
                <c:pt idx="6">
                  <c:v>0.14241570601946191</c:v>
                </c:pt>
                <c:pt idx="7">
                  <c:v>0.13970170260795708</c:v>
                </c:pt>
                <c:pt idx="8">
                  <c:v>0.14371659752799407</c:v>
                </c:pt>
                <c:pt idx="9">
                  <c:v>0.11766958156621515</c:v>
                </c:pt>
              </c:numCache>
            </c:numRef>
          </c:val>
          <c:extLst>
            <c:ext xmlns:c16="http://schemas.microsoft.com/office/drawing/2014/chart" uri="{C3380CC4-5D6E-409C-BE32-E72D297353CC}">
              <c16:uniqueId val="{00000001-0ED6-4DD2-9510-CFAEB0742BC0}"/>
            </c:ext>
          </c:extLst>
        </c:ser>
        <c:ser>
          <c:idx val="2"/>
          <c:order val="2"/>
          <c:tx>
            <c:strRef>
              <c:f>'NSWOS demersal u24m u300kW'!$C$95</c:f>
              <c:strCache>
                <c:ptCount val="1"/>
                <c:pt idx="0">
                  <c:v>Squid</c:v>
                </c:pt>
              </c:strCache>
            </c:strRef>
          </c:tx>
          <c:spPr>
            <a:solidFill>
              <a:srgbClr val="648C2E"/>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u300kW'!$D$95:$M$95</c:f>
              <c:numCache>
                <c:formatCode>0%</c:formatCode>
                <c:ptCount val="10"/>
                <c:pt idx="1">
                  <c:v>0.10670897823153228</c:v>
                </c:pt>
                <c:pt idx="2">
                  <c:v>8.3155511487980824E-2</c:v>
                </c:pt>
                <c:pt idx="3">
                  <c:v>0.15251806037839299</c:v>
                </c:pt>
                <c:pt idx="4">
                  <c:v>0.26289899685531981</c:v>
                </c:pt>
                <c:pt idx="5">
                  <c:v>0.2095454859916952</c:v>
                </c:pt>
                <c:pt idx="6">
                  <c:v>0.24852680380419778</c:v>
                </c:pt>
                <c:pt idx="7">
                  <c:v>0.18209225903581183</c:v>
                </c:pt>
                <c:pt idx="8">
                  <c:v>0.12252389197833094</c:v>
                </c:pt>
                <c:pt idx="9">
                  <c:v>0.19352281994086923</c:v>
                </c:pt>
              </c:numCache>
            </c:numRef>
          </c:val>
          <c:extLst>
            <c:ext xmlns:c16="http://schemas.microsoft.com/office/drawing/2014/chart" uri="{C3380CC4-5D6E-409C-BE32-E72D297353CC}">
              <c16:uniqueId val="{00000002-0ED6-4DD2-9510-CFAEB0742BC0}"/>
            </c:ext>
          </c:extLst>
        </c:ser>
        <c:ser>
          <c:idx val="3"/>
          <c:order val="3"/>
          <c:tx>
            <c:strRef>
              <c:f>'NSWOS demersal u24m u300kW'!$C$96</c:f>
              <c:strCache>
                <c:ptCount val="1"/>
                <c:pt idx="0">
                  <c:v>Haddock</c:v>
                </c:pt>
              </c:strCache>
            </c:strRef>
          </c:tx>
          <c:spPr>
            <a:solidFill>
              <a:srgbClr val="C1D119"/>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u300kW'!$D$96:$M$96</c:f>
              <c:numCache>
                <c:formatCode>0%</c:formatCode>
                <c:ptCount val="10"/>
                <c:pt idx="0">
                  <c:v>0.30135345261119478</c:v>
                </c:pt>
                <c:pt idx="1">
                  <c:v>0.11347803515808288</c:v>
                </c:pt>
                <c:pt idx="2">
                  <c:v>0.14809808879881728</c:v>
                </c:pt>
                <c:pt idx="5">
                  <c:v>7.5465663962938495E-2</c:v>
                </c:pt>
                <c:pt idx="7">
                  <c:v>0.11847919609627468</c:v>
                </c:pt>
                <c:pt idx="8">
                  <c:v>7.0856491584882511E-2</c:v>
                </c:pt>
              </c:numCache>
            </c:numRef>
          </c:val>
          <c:extLst>
            <c:ext xmlns:c16="http://schemas.microsoft.com/office/drawing/2014/chart" uri="{C3380CC4-5D6E-409C-BE32-E72D297353CC}">
              <c16:uniqueId val="{00000003-0ED6-4DD2-9510-CFAEB0742BC0}"/>
            </c:ext>
          </c:extLst>
        </c:ser>
        <c:ser>
          <c:idx val="4"/>
          <c:order val="4"/>
          <c:tx>
            <c:strRef>
              <c:f>'NSWOS demersal u24m u300kW'!$C$97</c:f>
              <c:strCache>
                <c:ptCount val="1"/>
                <c:pt idx="0">
                  <c:v>Nephrops</c:v>
                </c:pt>
              </c:strCache>
            </c:strRef>
          </c:tx>
          <c:spPr>
            <a:solidFill>
              <a:srgbClr val="E84A38"/>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u300kW'!$D$97:$M$97</c:f>
              <c:numCache>
                <c:formatCode>0%</c:formatCode>
                <c:ptCount val="10"/>
                <c:pt idx="0">
                  <c:v>0.11290038431559993</c:v>
                </c:pt>
                <c:pt idx="1">
                  <c:v>9.3826731895711266E-2</c:v>
                </c:pt>
                <c:pt idx="2">
                  <c:v>0.19297668254240927</c:v>
                </c:pt>
                <c:pt idx="3">
                  <c:v>0.10490203538657013</c:v>
                </c:pt>
                <c:pt idx="4">
                  <c:v>0.10240853599511011</c:v>
                </c:pt>
                <c:pt idx="5">
                  <c:v>5.7283353349581914E-2</c:v>
                </c:pt>
                <c:pt idx="6">
                  <c:v>0.13875379794776774</c:v>
                </c:pt>
                <c:pt idx="8">
                  <c:v>6.8195397095698329E-2</c:v>
                </c:pt>
                <c:pt idx="9">
                  <c:v>5.3751140262121806E-2</c:v>
                </c:pt>
              </c:numCache>
            </c:numRef>
          </c:val>
          <c:extLst>
            <c:ext xmlns:c16="http://schemas.microsoft.com/office/drawing/2014/chart" uri="{C3380CC4-5D6E-409C-BE32-E72D297353CC}">
              <c16:uniqueId val="{00000004-0ED6-4DD2-9510-CFAEB0742BC0}"/>
            </c:ext>
          </c:extLst>
        </c:ser>
        <c:ser>
          <c:idx val="5"/>
          <c:order val="5"/>
          <c:tx>
            <c:strRef>
              <c:f>'NSWOS demersal u24m u300kW'!$C$98</c:f>
              <c:strCache>
                <c:ptCount val="1"/>
                <c:pt idx="0">
                  <c:v>Megrim</c:v>
                </c:pt>
              </c:strCache>
            </c:strRef>
          </c:tx>
          <c:spPr>
            <a:solidFill>
              <a:srgbClr val="0F9AA9"/>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u300kW'!$D$98:$M$98</c:f>
              <c:numCache>
                <c:formatCode>0%</c:formatCode>
                <c:ptCount val="10"/>
                <c:pt idx="1">
                  <c:v>0.11173925024695418</c:v>
                </c:pt>
                <c:pt idx="3">
                  <c:v>0.10309629009601988</c:v>
                </c:pt>
                <c:pt idx="4">
                  <c:v>6.3110875559722654E-2</c:v>
                </c:pt>
                <c:pt idx="7">
                  <c:v>7.1384950056998589E-2</c:v>
                </c:pt>
                <c:pt idx="9">
                  <c:v>7.6079401540259758E-2</c:v>
                </c:pt>
              </c:numCache>
            </c:numRef>
          </c:val>
          <c:extLst>
            <c:ext xmlns:c16="http://schemas.microsoft.com/office/drawing/2014/chart" uri="{C3380CC4-5D6E-409C-BE32-E72D297353CC}">
              <c16:uniqueId val="{00000005-0ED6-4DD2-9510-CFAEB0742BC0}"/>
            </c:ext>
          </c:extLst>
        </c:ser>
        <c:ser>
          <c:idx val="6"/>
          <c:order val="6"/>
          <c:tx>
            <c:strRef>
              <c:f>'NSWOS demersal u24m u300kW'!$C$99</c:f>
              <c:strCache>
                <c:ptCount val="1"/>
                <c:pt idx="0">
                  <c:v>Squid</c:v>
                </c:pt>
              </c:strCache>
            </c:strRef>
          </c:tx>
          <c:spPr>
            <a:solidFill>
              <a:srgbClr val="FED825"/>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u300kW'!$D$99:$M$99</c:f>
              <c:numCache>
                <c:formatCode>0%</c:formatCode>
                <c:ptCount val="10"/>
                <c:pt idx="6">
                  <c:v>0.10848462319826255</c:v>
                </c:pt>
              </c:numCache>
            </c:numRef>
          </c:val>
          <c:extLst>
            <c:ext xmlns:c16="http://schemas.microsoft.com/office/drawing/2014/chart" uri="{C3380CC4-5D6E-409C-BE32-E72D297353CC}">
              <c16:uniqueId val="{00000006-0ED6-4DD2-9510-CFAEB0742BC0}"/>
            </c:ext>
          </c:extLst>
        </c:ser>
        <c:ser>
          <c:idx val="7"/>
          <c:order val="7"/>
          <c:tx>
            <c:strRef>
              <c:f>'NSWOS demersal u24m u300kW'!$C$100</c:f>
              <c:strCache>
                <c:ptCount val="1"/>
                <c:pt idx="0">
                  <c:v>Plaice</c:v>
                </c:pt>
              </c:strCache>
            </c:strRef>
          </c:tx>
          <c:spPr>
            <a:solidFill>
              <a:srgbClr val="707271"/>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u300kW'!$D$100:$M$100</c:f>
              <c:numCache>
                <c:formatCode>0%</c:formatCode>
                <c:ptCount val="10"/>
                <c:pt idx="0">
                  <c:v>8.6329339448131079E-2</c:v>
                </c:pt>
              </c:numCache>
            </c:numRef>
          </c:val>
          <c:extLst>
            <c:ext xmlns:c16="http://schemas.microsoft.com/office/drawing/2014/chart" uri="{C3380CC4-5D6E-409C-BE32-E72D297353CC}">
              <c16:uniqueId val="{00000007-0ED6-4DD2-9510-CFAEB0742BC0}"/>
            </c:ext>
          </c:extLst>
        </c:ser>
        <c:ser>
          <c:idx val="8"/>
          <c:order val="8"/>
          <c:tx>
            <c:strRef>
              <c:f>'NSWOS demersal u24m u300kW'!$C$101</c:f>
              <c:strCache>
                <c:ptCount val="1"/>
                <c:pt idx="0">
                  <c:v>Whiting</c:v>
                </c:pt>
              </c:strCache>
            </c:strRef>
          </c:tx>
          <c:spPr>
            <a:solidFill>
              <a:srgbClr val="51AA81"/>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u300kW'!$D$101:$M$101</c:f>
              <c:numCache>
                <c:formatCode>0%</c:formatCode>
                <c:ptCount val="10"/>
                <c:pt idx="0">
                  <c:v>5.3575441676922922E-2</c:v>
                </c:pt>
              </c:numCache>
            </c:numRef>
          </c:val>
          <c:extLst>
            <c:ext xmlns:c16="http://schemas.microsoft.com/office/drawing/2014/chart" uri="{C3380CC4-5D6E-409C-BE32-E72D297353CC}">
              <c16:uniqueId val="{00000008-0ED6-4DD2-9510-CFAEB0742BC0}"/>
            </c:ext>
          </c:extLst>
        </c:ser>
        <c:ser>
          <c:idx val="9"/>
          <c:order val="9"/>
          <c:tx>
            <c:strRef>
              <c:f>'NSWOS demersal u24m u300kW'!$C$102</c:f>
              <c:strCache>
                <c:ptCount val="1"/>
                <c:pt idx="0">
                  <c:v>Others</c:v>
                </c:pt>
              </c:strCache>
            </c:strRef>
          </c:tx>
          <c:spPr>
            <a:solidFill>
              <a:srgbClr val="55585A"/>
            </a:solidFill>
            <a:ln>
              <a:solidFill>
                <a:srgbClr val="FFFFFF"/>
              </a:solidFill>
            </a:ln>
          </c:spPr>
          <c:invertIfNegative val="0"/>
          <c:cat>
            <c:numRef>
              <c:f>'NSWOS demersal u24m u300kW'!$D$92:$M$92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'NSWOS demersal u24m u300kW'!$D$102:$M$102</c:f>
              <c:numCache>
                <c:formatCode>0%</c:formatCode>
                <c:ptCount val="10"/>
                <c:pt idx="0">
                  <c:v>0.37454013555450977</c:v>
                </c:pt>
                <c:pt idx="1">
                  <c:v>0.42538878870153057</c:v>
                </c:pt>
                <c:pt idx="2">
                  <c:v>0.30067296455712078</c:v>
                </c:pt>
                <c:pt idx="3">
                  <c:v>0.25280645967878085</c:v>
                </c:pt>
                <c:pt idx="4">
                  <c:v>0.21775854415413082</c:v>
                </c:pt>
                <c:pt idx="5">
                  <c:v>0.27911468290131253</c:v>
                </c:pt>
                <c:pt idx="6">
                  <c:v>0.24519788795674352</c:v>
                </c:pt>
                <c:pt idx="7">
                  <c:v>0.26783059427711436</c:v>
                </c:pt>
                <c:pt idx="8">
                  <c:v>0.28971272649102958</c:v>
                </c:pt>
                <c:pt idx="9">
                  <c:v>0.27318529517363155</c:v>
                </c:pt>
              </c:numCache>
            </c:numRef>
          </c:val>
          <c:extLst>
            <c:ext xmlns:c16="http://schemas.microsoft.com/office/drawing/2014/chart" uri="{C3380CC4-5D6E-409C-BE32-E72D297353CC}">
              <c16:uniqueId val="{00000009-0ED6-4DD2-9510-CFAEB0742BC0}"/>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u300kW'!$B$163</c:f>
              <c:strCache>
                <c:ptCount val="1"/>
                <c:pt idx="0">
                  <c:v>Squid</c:v>
                </c:pt>
              </c:strCache>
            </c:strRef>
          </c:tx>
          <c:spPr>
            <a:solidFill>
              <a:srgbClr val="648C2E"/>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u300kW'!$C$163:$E$163</c:f>
              <c:numCache>
                <c:formatCode>0%</c:formatCode>
                <c:ptCount val="3"/>
                <c:pt idx="0">
                  <c:v>0</c:v>
                </c:pt>
                <c:pt idx="1">
                  <c:v>0</c:v>
                </c:pt>
                <c:pt idx="2">
                  <c:v>0</c:v>
                </c:pt>
              </c:numCache>
            </c:numRef>
          </c:val>
          <c:extLst>
            <c:ext xmlns:c16="http://schemas.microsoft.com/office/drawing/2014/chart" uri="{C3380CC4-5D6E-409C-BE32-E72D297353CC}">
              <c16:uniqueId val="{00000000-FD79-4F18-84C4-6F0C04B4D0AE}"/>
            </c:ext>
          </c:extLst>
        </c:ser>
        <c:ser>
          <c:idx val="1"/>
          <c:order val="1"/>
          <c:tx>
            <c:strRef>
              <c:f>'NSWOS demersal u24m u300kW'!$B$164</c:f>
              <c:strCache>
                <c:ptCount val="1"/>
                <c:pt idx="0">
                  <c:v>Nephrops</c:v>
                </c:pt>
              </c:strCache>
            </c:strRef>
          </c:tx>
          <c:spPr>
            <a:solidFill>
              <a:srgbClr val="E84A38"/>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u300kW'!$C$164:$E$164</c:f>
              <c:numCache>
                <c:formatCode>0%</c:formatCode>
                <c:ptCount val="3"/>
                <c:pt idx="0">
                  <c:v>0</c:v>
                </c:pt>
                <c:pt idx="1">
                  <c:v>0</c:v>
                </c:pt>
                <c:pt idx="2">
                  <c:v>0</c:v>
                </c:pt>
              </c:numCache>
            </c:numRef>
          </c:val>
          <c:extLst>
            <c:ext xmlns:c16="http://schemas.microsoft.com/office/drawing/2014/chart" uri="{C3380CC4-5D6E-409C-BE32-E72D297353CC}">
              <c16:uniqueId val="{00000001-FD79-4F18-84C4-6F0C04B4D0AE}"/>
            </c:ext>
          </c:extLst>
        </c:ser>
        <c:ser>
          <c:idx val="2"/>
          <c:order val="2"/>
          <c:tx>
            <c:strRef>
              <c:f>'NSWOS demersal u24m u300kW'!$B$165</c:f>
              <c:strCache>
                <c:ptCount val="1"/>
                <c:pt idx="0">
                  <c:v>Anglerfish</c:v>
                </c:pt>
              </c:strCache>
            </c:strRef>
          </c:tx>
          <c:spPr>
            <a:solidFill>
              <a:srgbClr val="2273B9"/>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u300kW'!$C$165:$E$165</c:f>
              <c:numCache>
                <c:formatCode>0%</c:formatCode>
                <c:ptCount val="3"/>
                <c:pt idx="0">
                  <c:v>0</c:v>
                </c:pt>
                <c:pt idx="1">
                  <c:v>0</c:v>
                </c:pt>
                <c:pt idx="2">
                  <c:v>0</c:v>
                </c:pt>
              </c:numCache>
            </c:numRef>
          </c:val>
          <c:extLst>
            <c:ext xmlns:c16="http://schemas.microsoft.com/office/drawing/2014/chart" uri="{C3380CC4-5D6E-409C-BE32-E72D297353CC}">
              <c16:uniqueId val="{00000002-FD79-4F18-84C4-6F0C04B4D0AE}"/>
            </c:ext>
          </c:extLst>
        </c:ser>
        <c:ser>
          <c:idx val="3"/>
          <c:order val="3"/>
          <c:tx>
            <c:strRef>
              <c:f>'NSWOS demersal u24m u300kW'!$B$166</c:f>
              <c:strCache>
                <c:ptCount val="1"/>
                <c:pt idx="0">
                  <c:v>Haddock</c:v>
                </c:pt>
              </c:strCache>
            </c:strRef>
          </c:tx>
          <c:spPr>
            <a:solidFill>
              <a:srgbClr val="C1D119"/>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u300kW'!$C$166:$E$166</c:f>
              <c:numCache>
                <c:formatCode>0%</c:formatCode>
                <c:ptCount val="3"/>
                <c:pt idx="0">
                  <c:v>0</c:v>
                </c:pt>
                <c:pt idx="1">
                  <c:v>0</c:v>
                </c:pt>
                <c:pt idx="2">
                  <c:v>0</c:v>
                </c:pt>
              </c:numCache>
            </c:numRef>
          </c:val>
          <c:extLst>
            <c:ext xmlns:c16="http://schemas.microsoft.com/office/drawing/2014/chart" uri="{C3380CC4-5D6E-409C-BE32-E72D297353CC}">
              <c16:uniqueId val="{00000003-FD79-4F18-84C4-6F0C04B4D0AE}"/>
            </c:ext>
          </c:extLst>
        </c:ser>
        <c:ser>
          <c:idx val="4"/>
          <c:order val="4"/>
          <c:tx>
            <c:strRef>
              <c:f>'NSWOS demersal u24m u300kW'!$B$167</c:f>
              <c:strCache>
                <c:ptCount val="1"/>
                <c:pt idx="0">
                  <c:v>Cod</c:v>
                </c:pt>
              </c:strCache>
            </c:strRef>
          </c:tx>
          <c:spPr>
            <a:solidFill>
              <a:srgbClr val="E87308"/>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u300kW'!$C$167:$E$167</c:f>
              <c:numCache>
                <c:formatCode>0%</c:formatCode>
                <c:ptCount val="3"/>
                <c:pt idx="0">
                  <c:v>0</c:v>
                </c:pt>
                <c:pt idx="1">
                  <c:v>0</c:v>
                </c:pt>
                <c:pt idx="2">
                  <c:v>0</c:v>
                </c:pt>
              </c:numCache>
            </c:numRef>
          </c:val>
          <c:extLst>
            <c:ext xmlns:c16="http://schemas.microsoft.com/office/drawing/2014/chart" uri="{C3380CC4-5D6E-409C-BE32-E72D297353CC}">
              <c16:uniqueId val="{00000004-FD79-4F18-84C4-6F0C04B4D0AE}"/>
            </c:ext>
          </c:extLst>
        </c:ser>
        <c:ser>
          <c:idx val="5"/>
          <c:order val="5"/>
          <c:tx>
            <c:strRef>
              <c:f>'NSWOS demersal u24m u300kW'!$B$168</c:f>
              <c:strCache>
                <c:ptCount val="1"/>
                <c:pt idx="0">
                  <c:v>Brown Shrimps</c:v>
                </c:pt>
              </c:strCache>
            </c:strRef>
          </c:tx>
          <c:spPr>
            <a:solidFill>
              <a:srgbClr val="FED825"/>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u300kW'!$C$168:$E$168</c:f>
              <c:numCache>
                <c:formatCode>0%</c:formatCode>
                <c:ptCount val="3"/>
                <c:pt idx="0">
                  <c:v>0</c:v>
                </c:pt>
                <c:pt idx="1">
                  <c:v>0</c:v>
                </c:pt>
                <c:pt idx="2">
                  <c:v>0</c:v>
                </c:pt>
              </c:numCache>
            </c:numRef>
          </c:val>
          <c:extLst>
            <c:ext xmlns:c16="http://schemas.microsoft.com/office/drawing/2014/chart" uri="{C3380CC4-5D6E-409C-BE32-E72D297353CC}">
              <c16:uniqueId val="{00000005-FD79-4F18-84C4-6F0C04B4D0AE}"/>
            </c:ext>
          </c:extLst>
        </c:ser>
        <c:ser>
          <c:idx val="6"/>
          <c:order val="6"/>
          <c:tx>
            <c:strRef>
              <c:f>'NSWOS demersal u24m u300kW'!$B$169</c:f>
              <c:strCache>
                <c:ptCount val="1"/>
                <c:pt idx="0">
                  <c:v>Thornback Ray</c:v>
                </c:pt>
              </c:strCache>
            </c:strRef>
          </c:tx>
          <c:spPr>
            <a:solidFill>
              <a:srgbClr val="707271"/>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u300kW'!$C$169:$E$169</c:f>
              <c:numCache>
                <c:formatCode>0%</c:formatCode>
                <c:ptCount val="3"/>
                <c:pt idx="0">
                  <c:v>0</c:v>
                </c:pt>
                <c:pt idx="1">
                  <c:v>0</c:v>
                </c:pt>
                <c:pt idx="2">
                  <c:v>0</c:v>
                </c:pt>
              </c:numCache>
            </c:numRef>
          </c:val>
          <c:extLst>
            <c:ext xmlns:c16="http://schemas.microsoft.com/office/drawing/2014/chart" uri="{C3380CC4-5D6E-409C-BE32-E72D297353CC}">
              <c16:uniqueId val="{00000006-FD79-4F18-84C4-6F0C04B4D0AE}"/>
            </c:ext>
          </c:extLst>
        </c:ser>
        <c:ser>
          <c:idx val="7"/>
          <c:order val="7"/>
          <c:tx>
            <c:strRef>
              <c:f>'NSWOS demersal u24m u300kW'!$B$170</c:f>
              <c:strCache>
                <c:ptCount val="1"/>
                <c:pt idx="0">
                  <c:v>Sole</c:v>
                </c:pt>
              </c:strCache>
            </c:strRef>
          </c:tx>
          <c:spPr>
            <a:solidFill>
              <a:srgbClr val="51AA81"/>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u300kW'!$C$170:$E$170</c:f>
              <c:numCache>
                <c:formatCode>0%</c:formatCode>
                <c:ptCount val="3"/>
                <c:pt idx="0">
                  <c:v>0</c:v>
                </c:pt>
                <c:pt idx="1">
                  <c:v>0</c:v>
                </c:pt>
                <c:pt idx="2">
                  <c:v>0</c:v>
                </c:pt>
              </c:numCache>
            </c:numRef>
          </c:val>
          <c:extLst>
            <c:ext xmlns:c16="http://schemas.microsoft.com/office/drawing/2014/chart" uri="{C3380CC4-5D6E-409C-BE32-E72D297353CC}">
              <c16:uniqueId val="{00000007-FD79-4F18-84C4-6F0C04B4D0AE}"/>
            </c:ext>
          </c:extLst>
        </c:ser>
        <c:ser>
          <c:idx val="8"/>
          <c:order val="8"/>
          <c:tx>
            <c:strRef>
              <c:f>'NSWOS demersal u24m u300kW'!$B$171</c:f>
              <c:strCache>
                <c:ptCount val="1"/>
                <c:pt idx="0">
                  <c:v>Bass</c:v>
                </c:pt>
              </c:strCache>
            </c:strRef>
          </c:tx>
          <c:spPr>
            <a:solidFill>
              <a:srgbClr val="169FDB"/>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u300kW'!$C$171:$E$171</c:f>
              <c:numCache>
                <c:formatCode>0%</c:formatCode>
                <c:ptCount val="3"/>
                <c:pt idx="0">
                  <c:v>0</c:v>
                </c:pt>
                <c:pt idx="1">
                  <c:v>0</c:v>
                </c:pt>
                <c:pt idx="2">
                  <c:v>0</c:v>
                </c:pt>
              </c:numCache>
            </c:numRef>
          </c:val>
          <c:extLst>
            <c:ext xmlns:c16="http://schemas.microsoft.com/office/drawing/2014/chart" uri="{C3380CC4-5D6E-409C-BE32-E72D297353CC}">
              <c16:uniqueId val="{00000008-FD79-4F18-84C4-6F0C04B4D0AE}"/>
            </c:ext>
          </c:extLst>
        </c:ser>
        <c:ser>
          <c:idx val="9"/>
          <c:order val="9"/>
          <c:tx>
            <c:strRef>
              <c:f>'NSWOS demersal u24m u300kW'!$B$172</c:f>
              <c:strCache>
                <c:ptCount val="1"/>
                <c:pt idx="0">
                  <c:v>Les. Spot. Dog</c:v>
                </c:pt>
              </c:strCache>
            </c:strRef>
          </c:tx>
          <c:spPr>
            <a:solidFill>
              <a:srgbClr val="E40D2C"/>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u300kW'!$C$172:$E$172</c:f>
              <c:numCache>
                <c:formatCode>0%</c:formatCode>
                <c:ptCount val="3"/>
                <c:pt idx="0">
                  <c:v>0</c:v>
                </c:pt>
                <c:pt idx="1">
                  <c:v>0</c:v>
                </c:pt>
                <c:pt idx="2">
                  <c:v>0</c:v>
                </c:pt>
              </c:numCache>
            </c:numRef>
          </c:val>
          <c:extLst>
            <c:ext xmlns:c16="http://schemas.microsoft.com/office/drawing/2014/chart" uri="{C3380CC4-5D6E-409C-BE32-E72D297353CC}">
              <c16:uniqueId val="{00000009-FD79-4F18-84C4-6F0C04B4D0AE}"/>
            </c:ext>
          </c:extLst>
        </c:ser>
        <c:ser>
          <c:idx val="10"/>
          <c:order val="10"/>
          <c:tx>
            <c:strRef>
              <c:f>'NSWOS demersal u24m u300kW'!$B$173</c:f>
              <c:strCache>
                <c:ptCount val="1"/>
                <c:pt idx="0">
                  <c:v>Megrim</c:v>
                </c:pt>
              </c:strCache>
            </c:strRef>
          </c:tx>
          <c:spPr>
            <a:solidFill>
              <a:srgbClr val="F8CBA1"/>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u300kW'!$C$173:$E$173</c:f>
              <c:numCache>
                <c:formatCode>0%</c:formatCode>
                <c:ptCount val="3"/>
                <c:pt idx="0">
                  <c:v>0</c:v>
                </c:pt>
                <c:pt idx="1">
                  <c:v>0</c:v>
                </c:pt>
                <c:pt idx="2">
                  <c:v>0</c:v>
                </c:pt>
              </c:numCache>
            </c:numRef>
          </c:val>
          <c:extLst>
            <c:ext xmlns:c16="http://schemas.microsoft.com/office/drawing/2014/chart" uri="{C3380CC4-5D6E-409C-BE32-E72D297353CC}">
              <c16:uniqueId val="{0000000A-FD79-4F18-84C4-6F0C04B4D0AE}"/>
            </c:ext>
          </c:extLst>
        </c:ser>
        <c:ser>
          <c:idx val="11"/>
          <c:order val="11"/>
          <c:tx>
            <c:strRef>
              <c:f>'NSWOS demersal u24m u300kW'!$B$174</c:f>
              <c:strCache>
                <c:ptCount val="1"/>
                <c:pt idx="0">
                  <c:v>Whiting</c:v>
                </c:pt>
              </c:strCache>
            </c:strRef>
          </c:tx>
          <c:spPr>
            <a:solidFill>
              <a:srgbClr val="0F9AA9"/>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u300kW'!$C$174:$E$174</c:f>
              <c:numCache>
                <c:formatCode>0%</c:formatCode>
                <c:ptCount val="3"/>
                <c:pt idx="0">
                  <c:v>0</c:v>
                </c:pt>
                <c:pt idx="1">
                  <c:v>0</c:v>
                </c:pt>
                <c:pt idx="2">
                  <c:v>0</c:v>
                </c:pt>
              </c:numCache>
            </c:numRef>
          </c:val>
          <c:extLst>
            <c:ext xmlns:c16="http://schemas.microsoft.com/office/drawing/2014/chart" uri="{C3380CC4-5D6E-409C-BE32-E72D297353CC}">
              <c16:uniqueId val="{0000000B-FD79-4F18-84C4-6F0C04B4D0AE}"/>
            </c:ext>
          </c:extLst>
        </c:ser>
        <c:ser>
          <c:idx val="12"/>
          <c:order val="12"/>
          <c:tx>
            <c:strRef>
              <c:f>'NSWOS demersal u24m u300kW'!$B$175</c:f>
              <c:strCache>
                <c:ptCount val="1"/>
                <c:pt idx="0">
                  <c:v>Others</c:v>
                </c:pt>
              </c:strCache>
            </c:strRef>
          </c:tx>
          <c:spPr>
            <a:solidFill>
              <a:srgbClr val="55585A"/>
            </a:solidFill>
            <a:ln>
              <a:solidFill>
                <a:srgbClr val="FFFFFF"/>
              </a:solidFill>
            </a:ln>
          </c:spPr>
          <c:invertIfNegative val="0"/>
          <c:cat>
            <c:strRef>
              <c:f>'NSWOS demersal u24m u300kW'!$C$162:$E$162</c:f>
              <c:strCache>
                <c:ptCount val="3"/>
                <c:pt idx="0">
                  <c:v>Most
profitable
quartile</c:v>
                </c:pt>
                <c:pt idx="1">
                  <c:v>Middle 
two quartiles</c:v>
                </c:pt>
                <c:pt idx="2">
                  <c:v>Least
profitable
quartile</c:v>
                </c:pt>
              </c:strCache>
            </c:strRef>
          </c:cat>
          <c:val>
            <c:numRef>
              <c:f>'NSWOS demersal u24m u300kW'!$C$175:$E$175</c:f>
              <c:numCache>
                <c:formatCode>0%</c:formatCode>
                <c:ptCount val="3"/>
                <c:pt idx="0">
                  <c:v>0</c:v>
                </c:pt>
                <c:pt idx="1">
                  <c:v>0</c:v>
                </c:pt>
                <c:pt idx="2">
                  <c:v>0</c:v>
                </c:pt>
              </c:numCache>
            </c:numRef>
          </c:val>
          <c:extLst>
            <c:ext xmlns:c16="http://schemas.microsoft.com/office/drawing/2014/chart" uri="{C3380CC4-5D6E-409C-BE32-E72D297353CC}">
              <c16:uniqueId val="{0000000C-FD79-4F18-84C4-6F0C04B4D0A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u300kW'!$H$163</c:f>
              <c:strCache>
                <c:ptCount val="1"/>
                <c:pt idx="0">
                  <c:v>Squid</c:v>
                </c:pt>
              </c:strCache>
            </c:strRef>
          </c:tx>
          <c:spPr>
            <a:solidFill>
              <a:srgbClr val="648C2E"/>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u300kW'!$I$163:$K$163</c:f>
              <c:numCache>
                <c:formatCode>0%</c:formatCode>
                <c:ptCount val="3"/>
                <c:pt idx="0">
                  <c:v>0</c:v>
                </c:pt>
                <c:pt idx="1">
                  <c:v>0</c:v>
                </c:pt>
                <c:pt idx="2">
                  <c:v>0</c:v>
                </c:pt>
              </c:numCache>
            </c:numRef>
          </c:val>
          <c:extLst>
            <c:ext xmlns:c16="http://schemas.microsoft.com/office/drawing/2014/chart" uri="{C3380CC4-5D6E-409C-BE32-E72D297353CC}">
              <c16:uniqueId val="{00000000-0933-439A-8B36-DE8C554E4A55}"/>
            </c:ext>
          </c:extLst>
        </c:ser>
        <c:ser>
          <c:idx val="1"/>
          <c:order val="1"/>
          <c:tx>
            <c:strRef>
              <c:f>'NSWOS demersal u24m u300kW'!$H$164</c:f>
              <c:strCache>
                <c:ptCount val="1"/>
                <c:pt idx="0">
                  <c:v>Nephrops</c:v>
                </c:pt>
              </c:strCache>
            </c:strRef>
          </c:tx>
          <c:spPr>
            <a:solidFill>
              <a:srgbClr val="E84A38"/>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u300kW'!$I$164:$K$164</c:f>
              <c:numCache>
                <c:formatCode>0%</c:formatCode>
                <c:ptCount val="3"/>
                <c:pt idx="0">
                  <c:v>0</c:v>
                </c:pt>
                <c:pt idx="1">
                  <c:v>0</c:v>
                </c:pt>
                <c:pt idx="2">
                  <c:v>0</c:v>
                </c:pt>
              </c:numCache>
            </c:numRef>
          </c:val>
          <c:extLst>
            <c:ext xmlns:c16="http://schemas.microsoft.com/office/drawing/2014/chart" uri="{C3380CC4-5D6E-409C-BE32-E72D297353CC}">
              <c16:uniqueId val="{00000001-0933-439A-8B36-DE8C554E4A55}"/>
            </c:ext>
          </c:extLst>
        </c:ser>
        <c:ser>
          <c:idx val="2"/>
          <c:order val="2"/>
          <c:tx>
            <c:strRef>
              <c:f>'NSWOS demersal u24m u300kW'!$H$165</c:f>
              <c:strCache>
                <c:ptCount val="1"/>
                <c:pt idx="0">
                  <c:v>Anglerfish</c:v>
                </c:pt>
              </c:strCache>
            </c:strRef>
          </c:tx>
          <c:spPr>
            <a:solidFill>
              <a:srgbClr val="2273B9"/>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u300kW'!$I$165:$K$165</c:f>
              <c:numCache>
                <c:formatCode>0%</c:formatCode>
                <c:ptCount val="3"/>
                <c:pt idx="0">
                  <c:v>0</c:v>
                </c:pt>
                <c:pt idx="1">
                  <c:v>0</c:v>
                </c:pt>
                <c:pt idx="2">
                  <c:v>0</c:v>
                </c:pt>
              </c:numCache>
            </c:numRef>
          </c:val>
          <c:extLst>
            <c:ext xmlns:c16="http://schemas.microsoft.com/office/drawing/2014/chart" uri="{C3380CC4-5D6E-409C-BE32-E72D297353CC}">
              <c16:uniqueId val="{00000002-0933-439A-8B36-DE8C554E4A55}"/>
            </c:ext>
          </c:extLst>
        </c:ser>
        <c:ser>
          <c:idx val="3"/>
          <c:order val="3"/>
          <c:tx>
            <c:strRef>
              <c:f>'NSWOS demersal u24m u300kW'!$H$166</c:f>
              <c:strCache>
                <c:ptCount val="1"/>
                <c:pt idx="0">
                  <c:v>Cod</c:v>
                </c:pt>
              </c:strCache>
            </c:strRef>
          </c:tx>
          <c:spPr>
            <a:solidFill>
              <a:srgbClr val="E87308"/>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u300kW'!$I$166:$K$166</c:f>
              <c:numCache>
                <c:formatCode>0%</c:formatCode>
                <c:ptCount val="3"/>
                <c:pt idx="0">
                  <c:v>0</c:v>
                </c:pt>
                <c:pt idx="1">
                  <c:v>0</c:v>
                </c:pt>
                <c:pt idx="2">
                  <c:v>0</c:v>
                </c:pt>
              </c:numCache>
            </c:numRef>
          </c:val>
          <c:extLst>
            <c:ext xmlns:c16="http://schemas.microsoft.com/office/drawing/2014/chart" uri="{C3380CC4-5D6E-409C-BE32-E72D297353CC}">
              <c16:uniqueId val="{00000003-0933-439A-8B36-DE8C554E4A55}"/>
            </c:ext>
          </c:extLst>
        </c:ser>
        <c:ser>
          <c:idx val="4"/>
          <c:order val="4"/>
          <c:tx>
            <c:strRef>
              <c:f>'NSWOS demersal u24m u300kW'!$H$167</c:f>
              <c:strCache>
                <c:ptCount val="1"/>
                <c:pt idx="0">
                  <c:v>Brown Shrimps</c:v>
                </c:pt>
              </c:strCache>
            </c:strRef>
          </c:tx>
          <c:spPr>
            <a:solidFill>
              <a:srgbClr val="FED825"/>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u300kW'!$I$167:$K$167</c:f>
              <c:numCache>
                <c:formatCode>0%</c:formatCode>
                <c:ptCount val="3"/>
                <c:pt idx="0">
                  <c:v>0</c:v>
                </c:pt>
                <c:pt idx="1">
                  <c:v>0</c:v>
                </c:pt>
                <c:pt idx="2">
                  <c:v>0</c:v>
                </c:pt>
              </c:numCache>
            </c:numRef>
          </c:val>
          <c:extLst>
            <c:ext xmlns:c16="http://schemas.microsoft.com/office/drawing/2014/chart" uri="{C3380CC4-5D6E-409C-BE32-E72D297353CC}">
              <c16:uniqueId val="{00000004-0933-439A-8B36-DE8C554E4A55}"/>
            </c:ext>
          </c:extLst>
        </c:ser>
        <c:ser>
          <c:idx val="5"/>
          <c:order val="5"/>
          <c:tx>
            <c:strRef>
              <c:f>'NSWOS demersal u24m u300kW'!$H$168</c:f>
              <c:strCache>
                <c:ptCount val="1"/>
                <c:pt idx="0">
                  <c:v>Sole</c:v>
                </c:pt>
              </c:strCache>
            </c:strRef>
          </c:tx>
          <c:spPr>
            <a:solidFill>
              <a:srgbClr val="51AA81"/>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u300kW'!$I$168:$K$168</c:f>
              <c:numCache>
                <c:formatCode>0%</c:formatCode>
                <c:ptCount val="3"/>
                <c:pt idx="0">
                  <c:v>0</c:v>
                </c:pt>
                <c:pt idx="1">
                  <c:v>0</c:v>
                </c:pt>
                <c:pt idx="2">
                  <c:v>0</c:v>
                </c:pt>
              </c:numCache>
            </c:numRef>
          </c:val>
          <c:extLst>
            <c:ext xmlns:c16="http://schemas.microsoft.com/office/drawing/2014/chart" uri="{C3380CC4-5D6E-409C-BE32-E72D297353CC}">
              <c16:uniqueId val="{00000005-0933-439A-8B36-DE8C554E4A55}"/>
            </c:ext>
          </c:extLst>
        </c:ser>
        <c:ser>
          <c:idx val="6"/>
          <c:order val="6"/>
          <c:tx>
            <c:strRef>
              <c:f>'NSWOS demersal u24m u300kW'!$H$169</c:f>
              <c:strCache>
                <c:ptCount val="1"/>
                <c:pt idx="0">
                  <c:v>Thornback Ray</c:v>
                </c:pt>
              </c:strCache>
            </c:strRef>
          </c:tx>
          <c:spPr>
            <a:solidFill>
              <a:srgbClr val="707271"/>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u300kW'!$I$169:$K$169</c:f>
              <c:numCache>
                <c:formatCode>0%</c:formatCode>
                <c:ptCount val="3"/>
                <c:pt idx="0">
                  <c:v>0</c:v>
                </c:pt>
                <c:pt idx="1">
                  <c:v>0</c:v>
                </c:pt>
                <c:pt idx="2">
                  <c:v>0</c:v>
                </c:pt>
              </c:numCache>
            </c:numRef>
          </c:val>
          <c:extLst>
            <c:ext xmlns:c16="http://schemas.microsoft.com/office/drawing/2014/chart" uri="{C3380CC4-5D6E-409C-BE32-E72D297353CC}">
              <c16:uniqueId val="{00000006-0933-439A-8B36-DE8C554E4A55}"/>
            </c:ext>
          </c:extLst>
        </c:ser>
        <c:ser>
          <c:idx val="7"/>
          <c:order val="7"/>
          <c:tx>
            <c:strRef>
              <c:f>'NSWOS demersal u24m u300kW'!$H$170</c:f>
              <c:strCache>
                <c:ptCount val="1"/>
                <c:pt idx="0">
                  <c:v>Bass</c:v>
                </c:pt>
              </c:strCache>
            </c:strRef>
          </c:tx>
          <c:spPr>
            <a:solidFill>
              <a:srgbClr val="169FDB"/>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u300kW'!$I$170:$K$170</c:f>
              <c:numCache>
                <c:formatCode>0%</c:formatCode>
                <c:ptCount val="3"/>
                <c:pt idx="0">
                  <c:v>0</c:v>
                </c:pt>
                <c:pt idx="1">
                  <c:v>0</c:v>
                </c:pt>
                <c:pt idx="2">
                  <c:v>0</c:v>
                </c:pt>
              </c:numCache>
            </c:numRef>
          </c:val>
          <c:extLst>
            <c:ext xmlns:c16="http://schemas.microsoft.com/office/drawing/2014/chart" uri="{C3380CC4-5D6E-409C-BE32-E72D297353CC}">
              <c16:uniqueId val="{00000007-0933-439A-8B36-DE8C554E4A55}"/>
            </c:ext>
          </c:extLst>
        </c:ser>
        <c:ser>
          <c:idx val="8"/>
          <c:order val="8"/>
          <c:tx>
            <c:strRef>
              <c:f>'NSWOS demersal u24m u300kW'!$H$171</c:f>
              <c:strCache>
                <c:ptCount val="1"/>
                <c:pt idx="0">
                  <c:v>Turbot</c:v>
                </c:pt>
              </c:strCache>
            </c:strRef>
          </c:tx>
          <c:spPr>
            <a:solidFill>
              <a:srgbClr val="B4C3E5"/>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u300kW'!$I$171:$K$171</c:f>
              <c:numCache>
                <c:formatCode>0%</c:formatCode>
                <c:ptCount val="3"/>
                <c:pt idx="0">
                  <c:v>0</c:v>
                </c:pt>
                <c:pt idx="1">
                  <c:v>0</c:v>
                </c:pt>
                <c:pt idx="2">
                  <c:v>0</c:v>
                </c:pt>
              </c:numCache>
            </c:numRef>
          </c:val>
          <c:extLst>
            <c:ext xmlns:c16="http://schemas.microsoft.com/office/drawing/2014/chart" uri="{C3380CC4-5D6E-409C-BE32-E72D297353CC}">
              <c16:uniqueId val="{00000008-0933-439A-8B36-DE8C554E4A55}"/>
            </c:ext>
          </c:extLst>
        </c:ser>
        <c:ser>
          <c:idx val="9"/>
          <c:order val="9"/>
          <c:tx>
            <c:strRef>
              <c:f>'NSWOS demersal u24m u300kW'!$H$172</c:f>
              <c:strCache>
                <c:ptCount val="1"/>
                <c:pt idx="0">
                  <c:v>Megrim</c:v>
                </c:pt>
              </c:strCache>
            </c:strRef>
          </c:tx>
          <c:spPr>
            <a:solidFill>
              <a:srgbClr val="F8CBA1"/>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u300kW'!$I$172:$K$172</c:f>
              <c:numCache>
                <c:formatCode>0%</c:formatCode>
                <c:ptCount val="3"/>
                <c:pt idx="0">
                  <c:v>0</c:v>
                </c:pt>
                <c:pt idx="1">
                  <c:v>0</c:v>
                </c:pt>
                <c:pt idx="2">
                  <c:v>0</c:v>
                </c:pt>
              </c:numCache>
            </c:numRef>
          </c:val>
          <c:extLst>
            <c:ext xmlns:c16="http://schemas.microsoft.com/office/drawing/2014/chart" uri="{C3380CC4-5D6E-409C-BE32-E72D297353CC}">
              <c16:uniqueId val="{00000009-0933-439A-8B36-DE8C554E4A55}"/>
            </c:ext>
          </c:extLst>
        </c:ser>
        <c:ser>
          <c:idx val="10"/>
          <c:order val="10"/>
          <c:tx>
            <c:strRef>
              <c:f>'NSWOS demersal u24m u300kW'!$H$173</c:f>
              <c:strCache>
                <c:ptCount val="1"/>
                <c:pt idx="0">
                  <c:v>Haddock</c:v>
                </c:pt>
              </c:strCache>
            </c:strRef>
          </c:tx>
          <c:spPr>
            <a:solidFill>
              <a:srgbClr val="C1D119"/>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u300kW'!$I$173:$K$173</c:f>
              <c:numCache>
                <c:formatCode>0%</c:formatCode>
                <c:ptCount val="3"/>
                <c:pt idx="0">
                  <c:v>0</c:v>
                </c:pt>
                <c:pt idx="1">
                  <c:v>0</c:v>
                </c:pt>
                <c:pt idx="2">
                  <c:v>0</c:v>
                </c:pt>
              </c:numCache>
            </c:numRef>
          </c:val>
          <c:extLst>
            <c:ext xmlns:c16="http://schemas.microsoft.com/office/drawing/2014/chart" uri="{C3380CC4-5D6E-409C-BE32-E72D297353CC}">
              <c16:uniqueId val="{0000000A-0933-439A-8B36-DE8C554E4A55}"/>
            </c:ext>
          </c:extLst>
        </c:ser>
        <c:ser>
          <c:idx val="11"/>
          <c:order val="11"/>
          <c:tx>
            <c:strRef>
              <c:f>'NSWOS demersal u24m u300kW'!$H$174</c:f>
              <c:strCache>
                <c:ptCount val="1"/>
                <c:pt idx="0">
                  <c:v>Whiting</c:v>
                </c:pt>
              </c:strCache>
            </c:strRef>
          </c:tx>
          <c:spPr>
            <a:solidFill>
              <a:srgbClr val="0F9AA9"/>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u300kW'!$I$174:$K$174</c:f>
              <c:numCache>
                <c:formatCode>0%</c:formatCode>
                <c:ptCount val="3"/>
                <c:pt idx="0">
                  <c:v>0</c:v>
                </c:pt>
                <c:pt idx="1">
                  <c:v>0</c:v>
                </c:pt>
                <c:pt idx="2">
                  <c:v>0</c:v>
                </c:pt>
              </c:numCache>
            </c:numRef>
          </c:val>
          <c:extLst>
            <c:ext xmlns:c16="http://schemas.microsoft.com/office/drawing/2014/chart" uri="{C3380CC4-5D6E-409C-BE32-E72D297353CC}">
              <c16:uniqueId val="{0000000B-0933-439A-8B36-DE8C554E4A55}"/>
            </c:ext>
          </c:extLst>
        </c:ser>
        <c:ser>
          <c:idx val="12"/>
          <c:order val="12"/>
          <c:tx>
            <c:strRef>
              <c:f>'NSWOS demersal u24m u300kW'!$H$175</c:f>
              <c:strCache>
                <c:ptCount val="1"/>
                <c:pt idx="0">
                  <c:v>Others</c:v>
                </c:pt>
              </c:strCache>
            </c:strRef>
          </c:tx>
          <c:spPr>
            <a:solidFill>
              <a:srgbClr val="55585A"/>
            </a:solidFill>
            <a:ln>
              <a:solidFill>
                <a:srgbClr val="FFFFFF"/>
              </a:solidFill>
            </a:ln>
          </c:spPr>
          <c:invertIfNegative val="0"/>
          <c:cat>
            <c:strRef>
              <c:f>'NSWOS demersal u24m u300kW'!$I$162:$K$162</c:f>
              <c:strCache>
                <c:ptCount val="3"/>
                <c:pt idx="0">
                  <c:v>Most
profitable
quartile</c:v>
                </c:pt>
                <c:pt idx="1">
                  <c:v>Middle 
two quartiles</c:v>
                </c:pt>
                <c:pt idx="2">
                  <c:v>Least
profitable
quartile</c:v>
                </c:pt>
              </c:strCache>
            </c:strRef>
          </c:cat>
          <c:val>
            <c:numRef>
              <c:f>'NSWOS demersal u24m u300kW'!$I$175:$K$175</c:f>
              <c:numCache>
                <c:formatCode>0%</c:formatCode>
                <c:ptCount val="3"/>
                <c:pt idx="0">
                  <c:v>0</c:v>
                </c:pt>
                <c:pt idx="1">
                  <c:v>0</c:v>
                </c:pt>
                <c:pt idx="2">
                  <c:v>0</c:v>
                </c:pt>
              </c:numCache>
            </c:numRef>
          </c:val>
          <c:extLst>
            <c:ext xmlns:c16="http://schemas.microsoft.com/office/drawing/2014/chart" uri="{C3380CC4-5D6E-409C-BE32-E72D297353CC}">
              <c16:uniqueId val="{0000000C-0933-439A-8B36-DE8C554E4A5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u300kW'!$K$140</c:f>
              <c:strCache>
                <c:ptCount val="1"/>
                <c:pt idx="0">
                  <c:v>Total income</c:v>
                </c:pt>
              </c:strCache>
            </c:strRef>
          </c:tx>
          <c:spPr>
            <a:solidFill>
              <a:srgbClr val="087CBB"/>
            </a:solidFill>
            <a:ln>
              <a:solidFill>
                <a:schemeClr val="accent1"/>
              </a:solidFill>
            </a:ln>
          </c:spPr>
          <c:invertIfNegative val="0"/>
          <c:cat>
            <c:strRef>
              <c:f>'NSWOS demersal u24m u300kW'!$L$139:$N$139</c:f>
              <c:strCache>
                <c:ptCount val="3"/>
                <c:pt idx="0">
                  <c:v>Most
profitable
quartile</c:v>
                </c:pt>
                <c:pt idx="1">
                  <c:v>Middle
two quartiles</c:v>
                </c:pt>
                <c:pt idx="2">
                  <c:v>Least
profitable
quartile</c:v>
                </c:pt>
              </c:strCache>
            </c:strRef>
          </c:cat>
          <c:val>
            <c:numRef>
              <c:f>'NSWOS demersal u24m u300kW'!$L$140:$N$140</c:f>
              <c:numCache>
                <c:formatCode>#,##0</c:formatCode>
                <c:ptCount val="3"/>
                <c:pt idx="0">
                  <c:v>0</c:v>
                </c:pt>
                <c:pt idx="1">
                  <c:v>0</c:v>
                </c:pt>
                <c:pt idx="2">
                  <c:v>0</c:v>
                </c:pt>
              </c:numCache>
            </c:numRef>
          </c:val>
          <c:extLst>
            <c:ext xmlns:c16="http://schemas.microsoft.com/office/drawing/2014/chart" uri="{C3380CC4-5D6E-409C-BE32-E72D297353CC}">
              <c16:uniqueId val="{00000000-BE24-4B03-B49A-EE793D227CC2}"/>
            </c:ext>
          </c:extLst>
        </c:ser>
        <c:ser>
          <c:idx val="1"/>
          <c:order val="1"/>
          <c:tx>
            <c:strRef>
              <c:f>'NSWOS demersal u24m u300kW'!$K$141</c:f>
              <c:strCache>
                <c:ptCount val="1"/>
                <c:pt idx="0">
                  <c:v>Operating costs</c:v>
                </c:pt>
              </c:strCache>
            </c:strRef>
          </c:tx>
          <c:spPr>
            <a:solidFill>
              <a:srgbClr val="E87308"/>
            </a:solidFill>
          </c:spPr>
          <c:invertIfNegative val="0"/>
          <c:cat>
            <c:strRef>
              <c:f>'NSWOS demersal u24m u300kW'!$L$139:$N$139</c:f>
              <c:strCache>
                <c:ptCount val="3"/>
                <c:pt idx="0">
                  <c:v>Most
profitable
quartile</c:v>
                </c:pt>
                <c:pt idx="1">
                  <c:v>Middle
two quartiles</c:v>
                </c:pt>
                <c:pt idx="2">
                  <c:v>Least
profitable
quartile</c:v>
                </c:pt>
              </c:strCache>
            </c:strRef>
          </c:cat>
          <c:val>
            <c:numRef>
              <c:f>'NSWOS demersal u24m u300kW'!$L$141:$N$141</c:f>
              <c:numCache>
                <c:formatCode>#,##0</c:formatCode>
                <c:ptCount val="3"/>
                <c:pt idx="0">
                  <c:v>0</c:v>
                </c:pt>
                <c:pt idx="1">
                  <c:v>0</c:v>
                </c:pt>
                <c:pt idx="2">
                  <c:v>0</c:v>
                </c:pt>
              </c:numCache>
            </c:numRef>
          </c:val>
          <c:extLst>
            <c:ext xmlns:c16="http://schemas.microsoft.com/office/drawing/2014/chart" uri="{C3380CC4-5D6E-409C-BE32-E72D297353CC}">
              <c16:uniqueId val="{00000001-BE24-4B03-B49A-EE793D227CC2}"/>
            </c:ext>
          </c:extLst>
        </c:ser>
        <c:ser>
          <c:idx val="2"/>
          <c:order val="2"/>
          <c:tx>
            <c:strRef>
              <c:f>'NSWOS demersal u24m u300kW'!$K$142</c:f>
              <c:strCache>
                <c:ptCount val="1"/>
                <c:pt idx="0">
                  <c:v>Operating profit</c:v>
                </c:pt>
              </c:strCache>
            </c:strRef>
          </c:tx>
          <c:spPr>
            <a:solidFill>
              <a:srgbClr val="51AA81"/>
            </a:solidFill>
          </c:spPr>
          <c:invertIfNegative val="0"/>
          <c:cat>
            <c:strRef>
              <c:f>'NSWOS demersal u24m u300kW'!$L$139:$N$139</c:f>
              <c:strCache>
                <c:ptCount val="3"/>
                <c:pt idx="0">
                  <c:v>Most
profitable
quartile</c:v>
                </c:pt>
                <c:pt idx="1">
                  <c:v>Middle
two quartiles</c:v>
                </c:pt>
                <c:pt idx="2">
                  <c:v>Least
profitable
quartile</c:v>
                </c:pt>
              </c:strCache>
            </c:strRef>
          </c:cat>
          <c:val>
            <c:numRef>
              <c:f>'NSWOS demersal u24m u300kW'!$L$142:$N$142</c:f>
              <c:numCache>
                <c:formatCode>#,##0</c:formatCode>
                <c:ptCount val="3"/>
                <c:pt idx="0">
                  <c:v>0</c:v>
                </c:pt>
                <c:pt idx="1">
                  <c:v>0</c:v>
                </c:pt>
                <c:pt idx="2">
                  <c:v>0</c:v>
                </c:pt>
              </c:numCache>
            </c:numRef>
          </c:val>
          <c:extLst>
            <c:ext xmlns:c16="http://schemas.microsoft.com/office/drawing/2014/chart" uri="{C3380CC4-5D6E-409C-BE32-E72D297353CC}">
              <c16:uniqueId val="{00000002-BE24-4B03-B49A-EE793D227CC2}"/>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u24m u300kW'!$K$143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10-12m'!$A$49</c:f>
          <c:strCache>
            <c:ptCount val="1"/>
            <c:pt idx="0">
              <c:v>Landings per kW day at sea (kg)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4F2-4E12-A79F-399DBCDED765}"/>
              </c:ext>
            </c:extLst>
          </c:dPt>
          <c:dPt>
            <c:idx val="10"/>
            <c:bubble3D val="0"/>
            <c:spPr>
              <a:ln w="57150">
                <a:solidFill>
                  <a:srgbClr val="2273B9"/>
                </a:solidFill>
                <a:prstDash val="sysDot"/>
              </a:ln>
            </c:spPr>
            <c:extLst>
              <c:ext xmlns:c16="http://schemas.microsoft.com/office/drawing/2014/chart" uri="{C3380CC4-5D6E-409C-BE32-E72D297353CC}">
                <c16:uniqueId val="{00000003-D4F2-4E12-A79F-399DBCDED765}"/>
              </c:ext>
            </c:extLst>
          </c:dPt>
          <c:cat>
            <c:numRef>
              <c:f>'Pots and traps 10-12m'!$D$2:$N$2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10-12m'!$D$22:$N$22</c:f>
              <c:numCache>
                <c:formatCode>#,##0.00</c:formatCode>
                <c:ptCount val="11"/>
                <c:pt idx="0">
                  <c:v>2.5862568585868888</c:v>
                </c:pt>
                <c:pt idx="1">
                  <c:v>2.9470989899997764</c:v>
                </c:pt>
                <c:pt idx="2">
                  <c:v>2.7317684115728165</c:v>
                </c:pt>
                <c:pt idx="3">
                  <c:v>2.778745358943667</c:v>
                </c:pt>
                <c:pt idx="4">
                  <c:v>3.057889747382696</c:v>
                </c:pt>
                <c:pt idx="5">
                  <c:v>2.9165871354214827</c:v>
                </c:pt>
                <c:pt idx="6">
                  <c:v>2.6896359114493915</c:v>
                </c:pt>
                <c:pt idx="7">
                  <c:v>2.4262531711722555</c:v>
                </c:pt>
                <c:pt idx="8">
                  <c:v>2.4296578736679599</c:v>
                </c:pt>
                <c:pt idx="9">
                  <c:v>2.3829739622537049</c:v>
                </c:pt>
                <c:pt idx="10">
                  <c:v>2.7110035022885022</c:v>
                </c:pt>
              </c:numCache>
            </c:numRef>
          </c:val>
          <c:smooth val="0"/>
          <c:extLst>
            <c:ext xmlns:c16="http://schemas.microsoft.com/office/drawing/2014/chart" uri="{C3380CC4-5D6E-409C-BE32-E72D297353CC}">
              <c16:uniqueId val="{00000004-D4F2-4E12-A79F-399DBCDED765}"/>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10-12m'!$A$50</c:f>
          <c:strCache>
            <c:ptCount val="1"/>
            <c:pt idx="0">
              <c:v>Fishing income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5D3B-43AE-8377-4594AEF050DA}"/>
              </c:ext>
            </c:extLst>
          </c:dPt>
          <c:dPt>
            <c:idx val="10"/>
            <c:bubble3D val="0"/>
            <c:spPr>
              <a:ln w="57150">
                <a:solidFill>
                  <a:srgbClr val="648C2E"/>
                </a:solidFill>
                <a:prstDash val="sysDot"/>
              </a:ln>
            </c:spPr>
            <c:extLst>
              <c:ext xmlns:c16="http://schemas.microsoft.com/office/drawing/2014/chart" uri="{C3380CC4-5D6E-409C-BE32-E72D297353CC}">
                <c16:uniqueId val="{00000003-5D3B-43AE-8377-4594AEF050DA}"/>
              </c:ext>
            </c:extLst>
          </c:dPt>
          <c:cat>
            <c:numRef>
              <c:f>'Pots and traps 10-12m'!$D$2:$N$2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10-12m'!$D$23:$N$23</c:f>
              <c:numCache>
                <c:formatCode>#,##0.00</c:formatCode>
                <c:ptCount val="11"/>
                <c:pt idx="0">
                  <c:v>6.3590780241345302</c:v>
                </c:pt>
                <c:pt idx="1">
                  <c:v>6.2498327857355802</c:v>
                </c:pt>
                <c:pt idx="2">
                  <c:v>6.4328631737408797</c:v>
                </c:pt>
                <c:pt idx="3">
                  <c:v>6.7163803767112098</c:v>
                </c:pt>
                <c:pt idx="4">
                  <c:v>7.6341027329251503</c:v>
                </c:pt>
                <c:pt idx="5">
                  <c:v>7.8670664986846397</c:v>
                </c:pt>
                <c:pt idx="6">
                  <c:v>9.3618985140292104</c:v>
                </c:pt>
                <c:pt idx="7">
                  <c:v>8.6112206525708395</c:v>
                </c:pt>
                <c:pt idx="8">
                  <c:v>7.0151334032800596</c:v>
                </c:pt>
                <c:pt idx="9">
                  <c:v>8.6726127873217607</c:v>
                </c:pt>
                <c:pt idx="10">
                  <c:v>9.0078469221244912</c:v>
                </c:pt>
              </c:numCache>
            </c:numRef>
          </c:val>
          <c:smooth val="0"/>
          <c:extLst>
            <c:ext xmlns:c16="http://schemas.microsoft.com/office/drawing/2014/chart" uri="{C3380CC4-5D6E-409C-BE32-E72D297353CC}">
              <c16:uniqueId val="{00000004-5D3B-43AE-8377-4594AEF050DA}"/>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10-12m'!$B$63</c:f>
          <c:strCache>
            <c:ptCount val="1"/>
            <c:pt idx="0">
              <c:v>Total cost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907-406F-9C08-97F943EEB3F3}"/>
              </c:ext>
            </c:extLst>
          </c:dPt>
          <c:dPt>
            <c:idx val="10"/>
            <c:bubble3D val="0"/>
            <c:spPr>
              <a:ln w="57150">
                <a:solidFill>
                  <a:srgbClr val="087CBB"/>
                </a:solidFill>
                <a:prstDash val="sysDot"/>
              </a:ln>
            </c:spPr>
            <c:extLst>
              <c:ext xmlns:c16="http://schemas.microsoft.com/office/drawing/2014/chart" uri="{C3380CC4-5D6E-409C-BE32-E72D297353CC}">
                <c16:uniqueId val="{00000003-1907-406F-9C08-97F943EEB3F3}"/>
              </c:ext>
            </c:extLst>
          </c:dPt>
          <c:cat>
            <c:numRef>
              <c:f>'Pots and traps 10-12m'!$D$2:$N$2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10-12m'!$D$24:$N$24</c:f>
              <c:numCache>
                <c:formatCode>#,##0.00</c:formatCode>
                <c:ptCount val="11"/>
                <c:pt idx="0">
                  <c:v>4.3455977097847498</c:v>
                </c:pt>
                <c:pt idx="1">
                  <c:v>4.9722475610080998</c:v>
                </c:pt>
                <c:pt idx="2">
                  <c:v>4.7127281823950096</c:v>
                </c:pt>
                <c:pt idx="3">
                  <c:v>4.5405140168923097</c:v>
                </c:pt>
                <c:pt idx="4">
                  <c:v>5.2984541303826704</c:v>
                </c:pt>
                <c:pt idx="5">
                  <c:v>5.6317887373366702</c:v>
                </c:pt>
                <c:pt idx="6">
                  <c:v>6.1905238305273098</c:v>
                </c:pt>
                <c:pt idx="7">
                  <c:v>5.84031857313754</c:v>
                </c:pt>
                <c:pt idx="8">
                  <c:v>5.2729322428244396</c:v>
                </c:pt>
                <c:pt idx="9">
                  <c:v>6.1121906890502897</c:v>
                </c:pt>
                <c:pt idx="10">
                  <c:v>6.5772237365517237</c:v>
                </c:pt>
              </c:numCache>
            </c:numRef>
          </c:val>
          <c:smooth val="0"/>
          <c:extLst>
            <c:ext xmlns:c16="http://schemas.microsoft.com/office/drawing/2014/chart" uri="{C3380CC4-5D6E-409C-BE32-E72D297353CC}">
              <c16:uniqueId val="{00000004-1907-406F-9C08-97F943EEB3F3}"/>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o250kW'!$B$163</c:f>
              <c:strCache>
                <c:ptCount val="1"/>
                <c:pt idx="0">
                  <c:v>Nephrops</c:v>
                </c:pt>
              </c:strCache>
            </c:strRef>
          </c:tx>
          <c:spPr>
            <a:solidFill>
              <a:srgbClr val="2273B9"/>
            </a:solidFill>
            <a:ln>
              <a:solidFill>
                <a:srgbClr val="FFFFFF"/>
              </a:solidFill>
            </a:ln>
          </c:spPr>
          <c:invertIfNegative val="0"/>
          <c:cat>
            <c:strRef>
              <c:f>'Area VIIa nephrops o250kW'!$C$162:$E$162</c:f>
              <c:strCache>
                <c:ptCount val="3"/>
                <c:pt idx="0">
                  <c:v>Most
profitable
quartile</c:v>
                </c:pt>
                <c:pt idx="1">
                  <c:v>Middle 
two quartiles</c:v>
                </c:pt>
                <c:pt idx="2">
                  <c:v>Least
profitable
quartile</c:v>
                </c:pt>
              </c:strCache>
            </c:strRef>
          </c:cat>
          <c:val>
            <c:numRef>
              <c:f>'Area VIIa nephrops o250kW'!$C$163:$E$163</c:f>
              <c:numCache>
                <c:formatCode>0%</c:formatCode>
                <c:ptCount val="3"/>
                <c:pt idx="0">
                  <c:v>0.87074856846374782</c:v>
                </c:pt>
                <c:pt idx="1">
                  <c:v>0.84673502748054996</c:v>
                </c:pt>
                <c:pt idx="2">
                  <c:v>0.84931488436111491</c:v>
                </c:pt>
              </c:numCache>
            </c:numRef>
          </c:val>
          <c:extLst>
            <c:ext xmlns:c16="http://schemas.microsoft.com/office/drawing/2014/chart" uri="{C3380CC4-5D6E-409C-BE32-E72D297353CC}">
              <c16:uniqueId val="{00000000-DC07-4CB4-9578-F8C9D21EA19B}"/>
            </c:ext>
          </c:extLst>
        </c:ser>
        <c:ser>
          <c:idx val="1"/>
          <c:order val="1"/>
          <c:tx>
            <c:strRef>
              <c:f>'Area VIIa nephrops o250kW'!$B$164</c:f>
              <c:strCache>
                <c:ptCount val="1"/>
                <c:pt idx="0">
                  <c:v>Les. Spot. Dog</c:v>
                </c:pt>
              </c:strCache>
            </c:strRef>
          </c:tx>
          <c:spPr>
            <a:solidFill>
              <a:srgbClr val="648C2E"/>
            </a:solidFill>
            <a:ln>
              <a:solidFill>
                <a:srgbClr val="FFFFFF"/>
              </a:solidFill>
            </a:ln>
          </c:spPr>
          <c:invertIfNegative val="0"/>
          <c:cat>
            <c:strRef>
              <c:f>'Area VIIa nephrops o250kW'!$C$162:$E$162</c:f>
              <c:strCache>
                <c:ptCount val="3"/>
                <c:pt idx="0">
                  <c:v>Most
profitable
quartile</c:v>
                </c:pt>
                <c:pt idx="1">
                  <c:v>Middle 
two quartiles</c:v>
                </c:pt>
                <c:pt idx="2">
                  <c:v>Least
profitable
quartile</c:v>
                </c:pt>
              </c:strCache>
            </c:strRef>
          </c:cat>
          <c:val>
            <c:numRef>
              <c:f>'Area VIIa nephrops o250kW'!$C$164:$E$164</c:f>
              <c:numCache>
                <c:formatCode>0%</c:formatCode>
                <c:ptCount val="3"/>
                <c:pt idx="0">
                  <c:v>4.85292961154749E-2</c:v>
                </c:pt>
                <c:pt idx="1">
                  <c:v>9.6530627172228989E-2</c:v>
                </c:pt>
                <c:pt idx="2">
                  <c:v>7.4419690689839613E-2</c:v>
                </c:pt>
              </c:numCache>
            </c:numRef>
          </c:val>
          <c:extLst>
            <c:ext xmlns:c16="http://schemas.microsoft.com/office/drawing/2014/chart" uri="{C3380CC4-5D6E-409C-BE32-E72D297353CC}">
              <c16:uniqueId val="{00000001-DC07-4CB4-9578-F8C9D21EA19B}"/>
            </c:ext>
          </c:extLst>
        </c:ser>
        <c:ser>
          <c:idx val="2"/>
          <c:order val="2"/>
          <c:tx>
            <c:strRef>
              <c:f>'Area VIIa nephrops o250kW'!$B$165</c:f>
              <c:strCache>
                <c:ptCount val="1"/>
                <c:pt idx="0">
                  <c:v>Anglerfish</c:v>
                </c:pt>
              </c:strCache>
            </c:strRef>
          </c:tx>
          <c:spPr>
            <a:solidFill>
              <a:srgbClr val="E87308"/>
            </a:solidFill>
            <a:ln>
              <a:solidFill>
                <a:srgbClr val="FFFFFF"/>
              </a:solidFill>
            </a:ln>
          </c:spPr>
          <c:invertIfNegative val="0"/>
          <c:cat>
            <c:strRef>
              <c:f>'Area VIIa nephrops o250kW'!$C$162:$E$162</c:f>
              <c:strCache>
                <c:ptCount val="3"/>
                <c:pt idx="0">
                  <c:v>Most
profitable
quartile</c:v>
                </c:pt>
                <c:pt idx="1">
                  <c:v>Middle 
two quartiles</c:v>
                </c:pt>
                <c:pt idx="2">
                  <c:v>Least
profitable
quartile</c:v>
                </c:pt>
              </c:strCache>
            </c:strRef>
          </c:cat>
          <c:val>
            <c:numRef>
              <c:f>'Area VIIa nephrops o250kW'!$C$165:$E$165</c:f>
              <c:numCache>
                <c:formatCode>0%</c:formatCode>
                <c:ptCount val="3"/>
                <c:pt idx="0">
                  <c:v>2.3568567526917474E-2</c:v>
                </c:pt>
                <c:pt idx="1">
                  <c:v>2.3664744012394625E-2</c:v>
                </c:pt>
                <c:pt idx="2">
                  <c:v>2.0495759146299464E-2</c:v>
                </c:pt>
              </c:numCache>
            </c:numRef>
          </c:val>
          <c:extLst>
            <c:ext xmlns:c16="http://schemas.microsoft.com/office/drawing/2014/chart" uri="{C3380CC4-5D6E-409C-BE32-E72D297353CC}">
              <c16:uniqueId val="{00000002-DC07-4CB4-9578-F8C9D21EA19B}"/>
            </c:ext>
          </c:extLst>
        </c:ser>
        <c:ser>
          <c:idx val="3"/>
          <c:order val="3"/>
          <c:tx>
            <c:strRef>
              <c:f>'Area VIIa nephrops o250kW'!$B$166</c:f>
              <c:strCache>
                <c:ptCount val="1"/>
                <c:pt idx="0">
                  <c:v>Haddock</c:v>
                </c:pt>
              </c:strCache>
            </c:strRef>
          </c:tx>
          <c:spPr>
            <a:solidFill>
              <a:srgbClr val="E84A38"/>
            </a:solidFill>
            <a:ln>
              <a:solidFill>
                <a:srgbClr val="FFFFFF"/>
              </a:solidFill>
            </a:ln>
          </c:spPr>
          <c:invertIfNegative val="0"/>
          <c:cat>
            <c:strRef>
              <c:f>'Area VIIa nephrops o250kW'!$C$162:$E$162</c:f>
              <c:strCache>
                <c:ptCount val="3"/>
                <c:pt idx="0">
                  <c:v>Most
profitable
quartile</c:v>
                </c:pt>
                <c:pt idx="1">
                  <c:v>Middle 
two quartiles</c:v>
                </c:pt>
                <c:pt idx="2">
                  <c:v>Least
profitable
quartile</c:v>
                </c:pt>
              </c:strCache>
            </c:strRef>
          </c:cat>
          <c:val>
            <c:numRef>
              <c:f>'Area VIIa nephrops o250kW'!$C$166:$E$166</c:f>
              <c:numCache>
                <c:formatCode>0%</c:formatCode>
                <c:ptCount val="3"/>
                <c:pt idx="0">
                  <c:v>1.3741494664166812E-2</c:v>
                </c:pt>
                <c:pt idx="1">
                  <c:v>1.1906644543797763E-2</c:v>
                </c:pt>
                <c:pt idx="2">
                  <c:v>2.6360173454649583E-2</c:v>
                </c:pt>
              </c:numCache>
            </c:numRef>
          </c:val>
          <c:extLst>
            <c:ext xmlns:c16="http://schemas.microsoft.com/office/drawing/2014/chart" uri="{C3380CC4-5D6E-409C-BE32-E72D297353CC}">
              <c16:uniqueId val="{00000003-DC07-4CB4-9578-F8C9D21EA19B}"/>
            </c:ext>
          </c:extLst>
        </c:ser>
        <c:ser>
          <c:idx val="4"/>
          <c:order val="4"/>
          <c:tx>
            <c:strRef>
              <c:f>'Area VIIa nephrops o250kW'!$B$167</c:f>
              <c:strCache>
                <c:ptCount val="1"/>
                <c:pt idx="0">
                  <c:v>Thornback Ray</c:v>
                </c:pt>
              </c:strCache>
            </c:strRef>
          </c:tx>
          <c:spPr>
            <a:solidFill>
              <a:srgbClr val="0F9AA9"/>
            </a:solidFill>
            <a:ln>
              <a:solidFill>
                <a:srgbClr val="FFFFFF"/>
              </a:solidFill>
            </a:ln>
          </c:spPr>
          <c:invertIfNegative val="0"/>
          <c:cat>
            <c:strRef>
              <c:f>'Area VIIa nephrops o250kW'!$C$162:$E$162</c:f>
              <c:strCache>
                <c:ptCount val="3"/>
                <c:pt idx="0">
                  <c:v>Most
profitable
quartile</c:v>
                </c:pt>
                <c:pt idx="1">
                  <c:v>Middle 
two quartiles</c:v>
                </c:pt>
                <c:pt idx="2">
                  <c:v>Least
profitable
quartile</c:v>
                </c:pt>
              </c:strCache>
            </c:strRef>
          </c:cat>
          <c:val>
            <c:numRef>
              <c:f>'Area VIIa nephrops o250kW'!$C$167:$E$167</c:f>
              <c:numCache>
                <c:formatCode>0%</c:formatCode>
                <c:ptCount val="3"/>
                <c:pt idx="0">
                  <c:v>2.5365361281354349E-2</c:v>
                </c:pt>
                <c:pt idx="1">
                  <c:v>5.4739196066978853E-3</c:v>
                </c:pt>
                <c:pt idx="2">
                  <c:v>8.9215271369965116E-3</c:v>
                </c:pt>
              </c:numCache>
            </c:numRef>
          </c:val>
          <c:extLst>
            <c:ext xmlns:c16="http://schemas.microsoft.com/office/drawing/2014/chart" uri="{C3380CC4-5D6E-409C-BE32-E72D297353CC}">
              <c16:uniqueId val="{00000004-DC07-4CB4-9578-F8C9D21EA19B}"/>
            </c:ext>
          </c:extLst>
        </c:ser>
        <c:ser>
          <c:idx val="5"/>
          <c:order val="5"/>
          <c:tx>
            <c:strRef>
              <c:f>'Area VIIa nephrops o250kW'!$B$168</c:f>
              <c:strCache>
                <c:ptCount val="1"/>
                <c:pt idx="0">
                  <c:v>Others</c:v>
                </c:pt>
              </c:strCache>
            </c:strRef>
          </c:tx>
          <c:spPr>
            <a:solidFill>
              <a:srgbClr val="55585A"/>
            </a:solidFill>
            <a:ln>
              <a:solidFill>
                <a:srgbClr val="FFFFFF"/>
              </a:solidFill>
            </a:ln>
          </c:spPr>
          <c:invertIfNegative val="0"/>
          <c:cat>
            <c:strRef>
              <c:f>'Area VIIa nephrops o250kW'!$C$162:$E$162</c:f>
              <c:strCache>
                <c:ptCount val="3"/>
                <c:pt idx="0">
                  <c:v>Most
profitable
quartile</c:v>
                </c:pt>
                <c:pt idx="1">
                  <c:v>Middle 
two quartiles</c:v>
                </c:pt>
                <c:pt idx="2">
                  <c:v>Least
profitable
quartile</c:v>
                </c:pt>
              </c:strCache>
            </c:strRef>
          </c:cat>
          <c:val>
            <c:numRef>
              <c:f>'Area VIIa nephrops o250kW'!$C$168:$E$168</c:f>
              <c:numCache>
                <c:formatCode>0%</c:formatCode>
                <c:ptCount val="3"/>
                <c:pt idx="0">
                  <c:v>1.8046711948338623E-2</c:v>
                </c:pt>
                <c:pt idx="1">
                  <c:v>1.5689037184330901E-2</c:v>
                </c:pt>
                <c:pt idx="2">
                  <c:v>2.0487965211099968E-2</c:v>
                </c:pt>
              </c:numCache>
            </c:numRef>
          </c:val>
          <c:extLst>
            <c:ext xmlns:c16="http://schemas.microsoft.com/office/drawing/2014/chart" uri="{C3380CC4-5D6E-409C-BE32-E72D297353CC}">
              <c16:uniqueId val="{00000005-DC07-4CB4-9578-F8C9D21EA19B}"/>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10-12m'!$K$49</c:f>
          <c:strCache>
            <c:ptCount val="1"/>
            <c:pt idx="0">
              <c:v>Operating profit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646-4CBD-BC3B-AAEAED362769}"/>
              </c:ext>
            </c:extLst>
          </c:dPt>
          <c:dPt>
            <c:idx val="10"/>
            <c:bubble3D val="0"/>
            <c:spPr>
              <a:ln w="57150">
                <a:solidFill>
                  <a:schemeClr val="accent3"/>
                </a:solidFill>
                <a:prstDash val="sysDot"/>
              </a:ln>
            </c:spPr>
            <c:extLst>
              <c:ext xmlns:c16="http://schemas.microsoft.com/office/drawing/2014/chart" uri="{C3380CC4-5D6E-409C-BE32-E72D297353CC}">
                <c16:uniqueId val="{00000003-7646-4CBD-BC3B-AAEAED362769}"/>
              </c:ext>
            </c:extLst>
          </c:dPt>
          <c:cat>
            <c:numRef>
              <c:f>'Pots and traps 10-12m'!$D$2:$N$2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10-12m'!$D$25:$N$25</c:f>
              <c:numCache>
                <c:formatCode>#,##0.00</c:formatCode>
                <c:ptCount val="11"/>
                <c:pt idx="0">
                  <c:v>2.0757581576229902</c:v>
                </c:pt>
                <c:pt idx="1">
                  <c:v>1.40055810174351</c:v>
                </c:pt>
                <c:pt idx="2">
                  <c:v>1.86359608454873</c:v>
                </c:pt>
                <c:pt idx="3">
                  <c:v>2.2730478014571802</c:v>
                </c:pt>
                <c:pt idx="4">
                  <c:v>2.5964004940249601</c:v>
                </c:pt>
                <c:pt idx="5">
                  <c:v>3.0225878802469999</c:v>
                </c:pt>
                <c:pt idx="6">
                  <c:v>3.4629795161405901</c:v>
                </c:pt>
                <c:pt idx="7">
                  <c:v>2.9385725981713402</c:v>
                </c:pt>
                <c:pt idx="8">
                  <c:v>2.5359245588843802</c:v>
                </c:pt>
                <c:pt idx="9">
                  <c:v>2.9471444766327402</c:v>
                </c:pt>
                <c:pt idx="10">
                  <c:v>2.8190559301651694</c:v>
                </c:pt>
              </c:numCache>
            </c:numRef>
          </c:val>
          <c:smooth val="0"/>
          <c:extLst>
            <c:ext xmlns:c16="http://schemas.microsoft.com/office/drawing/2014/chart" uri="{C3380CC4-5D6E-409C-BE32-E72D297353CC}">
              <c16:uniqueId val="{00000004-7646-4CBD-BC3B-AAEAED36276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10-12m'!$A$51</c:f>
          <c:strCache>
            <c:ptCount val="1"/>
            <c:pt idx="0">
              <c:v>Average price per tonne landed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708-4104-A03C-D927C754D344}"/>
              </c:ext>
            </c:extLst>
          </c:dPt>
          <c:dPt>
            <c:idx val="10"/>
            <c:bubble3D val="0"/>
            <c:spPr>
              <a:ln w="57150">
                <a:solidFill>
                  <a:schemeClr val="accent4"/>
                </a:solidFill>
                <a:prstDash val="sysDot"/>
              </a:ln>
            </c:spPr>
            <c:extLst>
              <c:ext xmlns:c16="http://schemas.microsoft.com/office/drawing/2014/chart" uri="{C3380CC4-5D6E-409C-BE32-E72D297353CC}">
                <c16:uniqueId val="{00000003-E708-4104-A03C-D927C754D344}"/>
              </c:ext>
            </c:extLst>
          </c:dPt>
          <c:cat>
            <c:numRef>
              <c:f>'Pots and traps 10-12m'!$D$2:$M$2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10-12m'!$D$21:$N$21</c:f>
              <c:numCache>
                <c:formatCode>#,##0</c:formatCode>
                <c:ptCount val="11"/>
                <c:pt idx="0">
                  <c:v>2459</c:v>
                </c:pt>
                <c:pt idx="1">
                  <c:v>2121</c:v>
                </c:pt>
                <c:pt idx="2">
                  <c:v>2355</c:v>
                </c:pt>
                <c:pt idx="3">
                  <c:v>2417</c:v>
                </c:pt>
                <c:pt idx="4">
                  <c:v>2497</c:v>
                </c:pt>
                <c:pt idx="5">
                  <c:v>2697</c:v>
                </c:pt>
                <c:pt idx="6">
                  <c:v>3481</c:v>
                </c:pt>
                <c:pt idx="7">
                  <c:v>3549</c:v>
                </c:pt>
                <c:pt idx="8">
                  <c:v>2887</c:v>
                </c:pt>
                <c:pt idx="9">
                  <c:v>3639</c:v>
                </c:pt>
                <c:pt idx="10">
                  <c:v>3323</c:v>
                </c:pt>
              </c:numCache>
            </c:numRef>
          </c:val>
          <c:smooth val="0"/>
          <c:extLst>
            <c:ext xmlns:c16="http://schemas.microsoft.com/office/drawing/2014/chart" uri="{C3380CC4-5D6E-409C-BE32-E72D297353CC}">
              <c16:uniqueId val="{00000004-E708-4104-A03C-D927C754D344}"/>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10-12m'!$K$63</c:f>
          <c:strCache>
            <c:ptCount val="1"/>
            <c:pt idx="0">
              <c:v>Average annual operating profit per vessel (£'000)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894F-4A6C-BC9F-4A86188167AC}"/>
              </c:ext>
            </c:extLst>
          </c:dPt>
          <c:dPt>
            <c:idx val="10"/>
            <c:bubble3D val="0"/>
            <c:spPr>
              <a:ln w="57150">
                <a:solidFill>
                  <a:schemeClr val="accent5"/>
                </a:solidFill>
                <a:prstDash val="sysDot"/>
              </a:ln>
            </c:spPr>
            <c:extLst>
              <c:ext xmlns:c16="http://schemas.microsoft.com/office/drawing/2014/chart" uri="{C3380CC4-5D6E-409C-BE32-E72D297353CC}">
                <c16:uniqueId val="{00000003-894F-4A6C-BC9F-4A86188167AC}"/>
              </c:ext>
            </c:extLst>
          </c:dPt>
          <c:cat>
            <c:numRef>
              <c:f>'Pots and traps 10-12m'!$D$2:$M$2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10-12m'!$D$38:$N$38</c:f>
              <c:numCache>
                <c:formatCode>#,##0.0</c:formatCode>
                <c:ptCount val="11"/>
                <c:pt idx="0">
                  <c:v>42</c:v>
                </c:pt>
                <c:pt idx="1">
                  <c:v>28.3</c:v>
                </c:pt>
                <c:pt idx="2">
                  <c:v>40</c:v>
                </c:pt>
                <c:pt idx="3">
                  <c:v>50.5</c:v>
                </c:pt>
                <c:pt idx="4">
                  <c:v>56.8</c:v>
                </c:pt>
                <c:pt idx="5">
                  <c:v>63.8</c:v>
                </c:pt>
                <c:pt idx="6">
                  <c:v>72.7</c:v>
                </c:pt>
                <c:pt idx="7">
                  <c:v>67.7</c:v>
                </c:pt>
                <c:pt idx="8">
                  <c:v>50.8</c:v>
                </c:pt>
                <c:pt idx="9">
                  <c:v>63.5</c:v>
                </c:pt>
                <c:pt idx="10">
                  <c:v>57.5</c:v>
                </c:pt>
              </c:numCache>
            </c:numRef>
          </c:val>
          <c:smooth val="0"/>
          <c:extLst>
            <c:ext xmlns:c16="http://schemas.microsoft.com/office/drawing/2014/chart" uri="{C3380CC4-5D6E-409C-BE32-E72D297353CC}">
              <c16:uniqueId val="{00000004-894F-4A6C-BC9F-4A86188167AC}"/>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10-12m'!$A$77</c:f>
          <c:strCache>
            <c:ptCount val="1"/>
            <c:pt idx="0">
              <c:v>Top 5 landed species by volume in 2021
Pots and traps 10-12m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E3E-4F67-BECA-2ABB209F5BEB}"/>
              </c:ext>
            </c:extLst>
          </c:dPt>
          <c:dPt>
            <c:idx val="1"/>
            <c:bubble3D val="0"/>
            <c:spPr>
              <a:solidFill>
                <a:srgbClr val="C1D119"/>
              </a:solidFill>
              <a:ln>
                <a:solidFill>
                  <a:srgbClr val="FFFFFF"/>
                </a:solidFill>
              </a:ln>
            </c:spPr>
            <c:extLst>
              <c:ext xmlns:c16="http://schemas.microsoft.com/office/drawing/2014/chart" uri="{C3380CC4-5D6E-409C-BE32-E72D297353CC}">
                <c16:uniqueId val="{00000003-1E3E-4F67-BECA-2ABB209F5BEB}"/>
              </c:ext>
            </c:extLst>
          </c:dPt>
          <c:dPt>
            <c:idx val="2"/>
            <c:bubble3D val="0"/>
            <c:spPr>
              <a:solidFill>
                <a:srgbClr val="E87308"/>
              </a:solidFill>
              <a:ln>
                <a:solidFill>
                  <a:srgbClr val="FFFFFF"/>
                </a:solidFill>
              </a:ln>
            </c:spPr>
            <c:extLst>
              <c:ext xmlns:c16="http://schemas.microsoft.com/office/drawing/2014/chart" uri="{C3380CC4-5D6E-409C-BE32-E72D297353CC}">
                <c16:uniqueId val="{00000005-1E3E-4F67-BECA-2ABB209F5BEB}"/>
              </c:ext>
            </c:extLst>
          </c:dPt>
          <c:dPt>
            <c:idx val="3"/>
            <c:bubble3D val="0"/>
            <c:spPr>
              <a:solidFill>
                <a:srgbClr val="648C2E"/>
              </a:solidFill>
              <a:ln>
                <a:solidFill>
                  <a:srgbClr val="FFFFFF"/>
                </a:solidFill>
              </a:ln>
            </c:spPr>
            <c:extLst>
              <c:ext xmlns:c16="http://schemas.microsoft.com/office/drawing/2014/chart" uri="{C3380CC4-5D6E-409C-BE32-E72D297353CC}">
                <c16:uniqueId val="{00000007-1E3E-4F67-BECA-2ABB209F5BEB}"/>
              </c:ext>
            </c:extLst>
          </c:dPt>
          <c:dPt>
            <c:idx val="4"/>
            <c:bubble3D val="0"/>
            <c:spPr>
              <a:solidFill>
                <a:srgbClr val="0F9AA9"/>
              </a:solidFill>
              <a:ln>
                <a:solidFill>
                  <a:srgbClr val="FFFFFF"/>
                </a:solidFill>
              </a:ln>
            </c:spPr>
            <c:extLst>
              <c:ext xmlns:c16="http://schemas.microsoft.com/office/drawing/2014/chart" uri="{C3380CC4-5D6E-409C-BE32-E72D297353CC}">
                <c16:uniqueId val="{00000009-1E3E-4F67-BECA-2ABB209F5BEB}"/>
              </c:ext>
            </c:extLst>
          </c:dPt>
          <c:dPt>
            <c:idx val="5"/>
            <c:bubble3D val="0"/>
            <c:spPr>
              <a:solidFill>
                <a:srgbClr val="55585A"/>
              </a:solidFill>
              <a:ln>
                <a:solidFill>
                  <a:srgbClr val="FFFFFF"/>
                </a:solidFill>
              </a:ln>
            </c:spPr>
            <c:extLst>
              <c:ext xmlns:c16="http://schemas.microsoft.com/office/drawing/2014/chart" uri="{C3380CC4-5D6E-409C-BE32-E72D297353CC}">
                <c16:uniqueId val="{0000000B-1E3E-4F67-BECA-2ABB209F5BEB}"/>
              </c:ext>
            </c:extLst>
          </c:dPt>
          <c:cat>
            <c:strRef>
              <c:f>'Pots and traps 10-12m'!$B$78:$B$83</c:f>
              <c:strCache>
                <c:ptCount val="6"/>
                <c:pt idx="0">
                  <c:v>Brown Crab - 39.1%</c:v>
                </c:pt>
                <c:pt idx="1">
                  <c:v>Whelks - 38.0%</c:v>
                </c:pt>
                <c:pt idx="2">
                  <c:v>Lobsters - 6.3%</c:v>
                </c:pt>
                <c:pt idx="3">
                  <c:v>Nephrops - 6.3%</c:v>
                </c:pt>
                <c:pt idx="4">
                  <c:v>Pilchards - 3.9%</c:v>
                </c:pt>
                <c:pt idx="5">
                  <c:v>Others - 6.4%</c:v>
                </c:pt>
              </c:strCache>
            </c:strRef>
          </c:cat>
          <c:val>
            <c:numRef>
              <c:f>'Pots and traps 10-12m'!$C$78:$C$83</c:f>
              <c:numCache>
                <c:formatCode>0.0%</c:formatCode>
                <c:ptCount val="6"/>
                <c:pt idx="0">
                  <c:v>0.39098096790135795</c:v>
                </c:pt>
                <c:pt idx="1">
                  <c:v>0.37957319347935159</c:v>
                </c:pt>
                <c:pt idx="2">
                  <c:v>6.3283877923709556E-2</c:v>
                </c:pt>
                <c:pt idx="3">
                  <c:v>6.2814069310269782E-2</c:v>
                </c:pt>
                <c:pt idx="4">
                  <c:v>3.9209212427110715E-2</c:v>
                </c:pt>
                <c:pt idx="5">
                  <c:v>6.4138678958200357E-2</c:v>
                </c:pt>
              </c:numCache>
            </c:numRef>
          </c:val>
          <c:extLst>
            <c:ext xmlns:c16="http://schemas.microsoft.com/office/drawing/2014/chart" uri="{C3380CC4-5D6E-409C-BE32-E72D297353CC}">
              <c16:uniqueId val="{0000000C-1E3E-4F67-BECA-2ABB209F5BE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10-12m'!$F$77</c:f>
          <c:strCache>
            <c:ptCount val="1"/>
            <c:pt idx="0">
              <c:v>Top 5 landed species by value in 2021
Pots and traps 10-12m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F4C-4F2F-B1B9-C68E003F6AC2}"/>
              </c:ext>
            </c:extLst>
          </c:dPt>
          <c:dPt>
            <c:idx val="1"/>
            <c:bubble3D val="0"/>
            <c:spPr>
              <a:solidFill>
                <a:srgbClr val="E87308"/>
              </a:solidFill>
              <a:ln>
                <a:solidFill>
                  <a:srgbClr val="FFFFFF"/>
                </a:solidFill>
              </a:ln>
            </c:spPr>
            <c:extLst>
              <c:ext xmlns:c16="http://schemas.microsoft.com/office/drawing/2014/chart" uri="{C3380CC4-5D6E-409C-BE32-E72D297353CC}">
                <c16:uniqueId val="{00000003-BF4C-4F2F-B1B9-C68E003F6AC2}"/>
              </c:ext>
            </c:extLst>
          </c:dPt>
          <c:dPt>
            <c:idx val="2"/>
            <c:bubble3D val="0"/>
            <c:spPr>
              <a:solidFill>
                <a:srgbClr val="648C2E"/>
              </a:solidFill>
              <a:ln>
                <a:solidFill>
                  <a:srgbClr val="FFFFFF"/>
                </a:solidFill>
              </a:ln>
            </c:spPr>
            <c:extLst>
              <c:ext xmlns:c16="http://schemas.microsoft.com/office/drawing/2014/chart" uri="{C3380CC4-5D6E-409C-BE32-E72D297353CC}">
                <c16:uniqueId val="{00000005-BF4C-4F2F-B1B9-C68E003F6AC2}"/>
              </c:ext>
            </c:extLst>
          </c:dPt>
          <c:dPt>
            <c:idx val="3"/>
            <c:bubble3D val="0"/>
            <c:spPr>
              <a:solidFill>
                <a:srgbClr val="C1D119"/>
              </a:solidFill>
              <a:ln>
                <a:solidFill>
                  <a:srgbClr val="FFFFFF"/>
                </a:solidFill>
              </a:ln>
            </c:spPr>
            <c:extLst>
              <c:ext xmlns:c16="http://schemas.microsoft.com/office/drawing/2014/chart" uri="{C3380CC4-5D6E-409C-BE32-E72D297353CC}">
                <c16:uniqueId val="{00000007-BF4C-4F2F-B1B9-C68E003F6AC2}"/>
              </c:ext>
            </c:extLst>
          </c:dPt>
          <c:dPt>
            <c:idx val="4"/>
            <c:bubble3D val="0"/>
            <c:spPr>
              <a:solidFill>
                <a:srgbClr val="E84A38"/>
              </a:solidFill>
              <a:ln>
                <a:solidFill>
                  <a:srgbClr val="FFFFFF"/>
                </a:solidFill>
              </a:ln>
            </c:spPr>
            <c:extLst>
              <c:ext xmlns:c16="http://schemas.microsoft.com/office/drawing/2014/chart" uri="{C3380CC4-5D6E-409C-BE32-E72D297353CC}">
                <c16:uniqueId val="{00000009-BF4C-4F2F-B1B9-C68E003F6AC2}"/>
              </c:ext>
            </c:extLst>
          </c:dPt>
          <c:dPt>
            <c:idx val="5"/>
            <c:bubble3D val="0"/>
            <c:spPr>
              <a:solidFill>
                <a:srgbClr val="55585A"/>
              </a:solidFill>
              <a:ln>
                <a:solidFill>
                  <a:srgbClr val="FFFFFF"/>
                </a:solidFill>
              </a:ln>
            </c:spPr>
            <c:extLst>
              <c:ext xmlns:c16="http://schemas.microsoft.com/office/drawing/2014/chart" uri="{C3380CC4-5D6E-409C-BE32-E72D297353CC}">
                <c16:uniqueId val="{0000000B-BF4C-4F2F-B1B9-C68E003F6AC2}"/>
              </c:ext>
            </c:extLst>
          </c:dPt>
          <c:cat>
            <c:strRef>
              <c:f>'Pots and traps 10-12m'!$G$78:$G$83</c:f>
              <c:strCache>
                <c:ptCount val="6"/>
                <c:pt idx="0">
                  <c:v>Brown Crab - 32.3%</c:v>
                </c:pt>
                <c:pt idx="1">
                  <c:v>Lobsters - 29.3%</c:v>
                </c:pt>
                <c:pt idx="2">
                  <c:v>Nephrops - 19.0%</c:v>
                </c:pt>
                <c:pt idx="3">
                  <c:v>Whelks - 12.5%</c:v>
                </c:pt>
                <c:pt idx="4">
                  <c:v>Velvet Crab - 2.7%</c:v>
                </c:pt>
                <c:pt idx="5">
                  <c:v>Others - 4.2%</c:v>
                </c:pt>
              </c:strCache>
            </c:strRef>
          </c:cat>
          <c:val>
            <c:numRef>
              <c:f>'Pots and traps 10-12m'!$H$78:$H$83</c:f>
              <c:numCache>
                <c:formatCode>0.0%</c:formatCode>
                <c:ptCount val="6"/>
                <c:pt idx="0">
                  <c:v>0.32299341858841857</c:v>
                </c:pt>
                <c:pt idx="1">
                  <c:v>0.29255800162296425</c:v>
                </c:pt>
                <c:pt idx="2">
                  <c:v>0.19023206009386626</c:v>
                </c:pt>
                <c:pt idx="3">
                  <c:v>0.12507134133275774</c:v>
                </c:pt>
                <c:pt idx="4">
                  <c:v>2.6774195456719843E-2</c:v>
                </c:pt>
                <c:pt idx="5">
                  <c:v>4.2370982905273302E-2</c:v>
                </c:pt>
              </c:numCache>
            </c:numRef>
          </c:val>
          <c:extLst>
            <c:ext xmlns:c16="http://schemas.microsoft.com/office/drawing/2014/chart" uri="{C3380CC4-5D6E-409C-BE32-E72D297353CC}">
              <c16:uniqueId val="{0000000C-BF4C-4F2F-B1B9-C68E003F6AC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10-12m'!$C$93</c:f>
              <c:strCache>
                <c:ptCount val="1"/>
                <c:pt idx="0">
                  <c:v>Brown Crab</c:v>
                </c:pt>
              </c:strCache>
            </c:strRef>
          </c:tx>
          <c:spPr>
            <a:solidFill>
              <a:srgbClr val="2273B9"/>
            </a:solidFill>
            <a:ln>
              <a:solidFill>
                <a:srgbClr val="FFFFFF"/>
              </a:solidFill>
            </a:ln>
          </c:spPr>
          <c:invertIfNegative val="0"/>
          <c:cat>
            <c:numRef>
              <c:f>'Pots and traps 10-12m'!$D$92:$M$92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10-12m'!$D$93:$M$93</c:f>
              <c:numCache>
                <c:formatCode>0%</c:formatCode>
                <c:ptCount val="10"/>
                <c:pt idx="0">
                  <c:v>0.27963510888633242</c:v>
                </c:pt>
                <c:pt idx="1">
                  <c:v>0.29534193075888704</c:v>
                </c:pt>
                <c:pt idx="2">
                  <c:v>0.2392915715756935</c:v>
                </c:pt>
                <c:pt idx="3">
                  <c:v>0.25989996492954337</c:v>
                </c:pt>
                <c:pt idx="4">
                  <c:v>0.30053098210605544</c:v>
                </c:pt>
                <c:pt idx="5">
                  <c:v>0.35610866888787479</c:v>
                </c:pt>
                <c:pt idx="6">
                  <c:v>0.35678706780609304</c:v>
                </c:pt>
                <c:pt idx="7">
                  <c:v>0.24735010353469858</c:v>
                </c:pt>
                <c:pt idx="8">
                  <c:v>0.32299341858841857</c:v>
                </c:pt>
                <c:pt idx="9">
                  <c:v>0.29898689192002376</c:v>
                </c:pt>
              </c:numCache>
            </c:numRef>
          </c:val>
          <c:extLst>
            <c:ext xmlns:c16="http://schemas.microsoft.com/office/drawing/2014/chart" uri="{C3380CC4-5D6E-409C-BE32-E72D297353CC}">
              <c16:uniqueId val="{00000000-2510-4D0A-9B81-686F866DDEBA}"/>
            </c:ext>
          </c:extLst>
        </c:ser>
        <c:ser>
          <c:idx val="1"/>
          <c:order val="1"/>
          <c:tx>
            <c:strRef>
              <c:f>'Pots and traps 10-12m'!$C$94</c:f>
              <c:strCache>
                <c:ptCount val="1"/>
                <c:pt idx="0">
                  <c:v>Lobsters</c:v>
                </c:pt>
              </c:strCache>
            </c:strRef>
          </c:tx>
          <c:spPr>
            <a:solidFill>
              <a:srgbClr val="E87308"/>
            </a:solidFill>
            <a:ln>
              <a:solidFill>
                <a:srgbClr val="FFFFFF"/>
              </a:solidFill>
            </a:ln>
          </c:spPr>
          <c:invertIfNegative val="0"/>
          <c:cat>
            <c:numRef>
              <c:f>'Pots and traps 10-12m'!$D$92:$M$92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10-12m'!$D$94:$M$94</c:f>
              <c:numCache>
                <c:formatCode>0%</c:formatCode>
                <c:ptCount val="10"/>
                <c:pt idx="0">
                  <c:v>0.29055980856990427</c:v>
                </c:pt>
                <c:pt idx="1">
                  <c:v>0.2786689503545382</c:v>
                </c:pt>
                <c:pt idx="2">
                  <c:v>0.28195074395456021</c:v>
                </c:pt>
                <c:pt idx="3">
                  <c:v>0.27523772552162368</c:v>
                </c:pt>
                <c:pt idx="4">
                  <c:v>0.30737455570016348</c:v>
                </c:pt>
                <c:pt idx="5">
                  <c:v>0.27653088037495915</c:v>
                </c:pt>
                <c:pt idx="6">
                  <c:v>0.27482878762667445</c:v>
                </c:pt>
                <c:pt idx="7">
                  <c:v>0.30947880242099013</c:v>
                </c:pt>
                <c:pt idx="8">
                  <c:v>0.29255800162296425</c:v>
                </c:pt>
                <c:pt idx="9">
                  <c:v>0.3115311376433374</c:v>
                </c:pt>
              </c:numCache>
            </c:numRef>
          </c:val>
          <c:extLst>
            <c:ext xmlns:c16="http://schemas.microsoft.com/office/drawing/2014/chart" uri="{C3380CC4-5D6E-409C-BE32-E72D297353CC}">
              <c16:uniqueId val="{00000001-2510-4D0A-9B81-686F866DDEBA}"/>
            </c:ext>
          </c:extLst>
        </c:ser>
        <c:ser>
          <c:idx val="2"/>
          <c:order val="2"/>
          <c:tx>
            <c:strRef>
              <c:f>'Pots and traps 10-12m'!$C$95</c:f>
              <c:strCache>
                <c:ptCount val="1"/>
                <c:pt idx="0">
                  <c:v>Nephrops</c:v>
                </c:pt>
              </c:strCache>
            </c:strRef>
          </c:tx>
          <c:spPr>
            <a:solidFill>
              <a:srgbClr val="648C2E"/>
            </a:solidFill>
            <a:ln>
              <a:solidFill>
                <a:srgbClr val="FFFFFF"/>
              </a:solidFill>
            </a:ln>
          </c:spPr>
          <c:invertIfNegative val="0"/>
          <c:cat>
            <c:numRef>
              <c:f>'Pots and traps 10-12m'!$D$92:$M$92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10-12m'!$D$95:$M$95</c:f>
              <c:numCache>
                <c:formatCode>0%</c:formatCode>
                <c:ptCount val="10"/>
                <c:pt idx="0">
                  <c:v>0.22001879956252138</c:v>
                </c:pt>
                <c:pt idx="1">
                  <c:v>0.20124406961519797</c:v>
                </c:pt>
                <c:pt idx="2">
                  <c:v>0.22509449096632383</c:v>
                </c:pt>
                <c:pt idx="3">
                  <c:v>0.18781298003645103</c:v>
                </c:pt>
                <c:pt idx="4">
                  <c:v>0.13319120225942083</c:v>
                </c:pt>
                <c:pt idx="5">
                  <c:v>0.15963989594755146</c:v>
                </c:pt>
                <c:pt idx="6">
                  <c:v>0.17451126627235675</c:v>
                </c:pt>
                <c:pt idx="7">
                  <c:v>0.17684623047690676</c:v>
                </c:pt>
                <c:pt idx="8">
                  <c:v>0.19023206009386626</c:v>
                </c:pt>
                <c:pt idx="9">
                  <c:v>0.18041493659979899</c:v>
                </c:pt>
              </c:numCache>
            </c:numRef>
          </c:val>
          <c:extLst>
            <c:ext xmlns:c16="http://schemas.microsoft.com/office/drawing/2014/chart" uri="{C3380CC4-5D6E-409C-BE32-E72D297353CC}">
              <c16:uniqueId val="{00000002-2510-4D0A-9B81-686F866DDEBA}"/>
            </c:ext>
          </c:extLst>
        </c:ser>
        <c:ser>
          <c:idx val="3"/>
          <c:order val="3"/>
          <c:tx>
            <c:strRef>
              <c:f>'Pots and traps 10-12m'!$C$96</c:f>
              <c:strCache>
                <c:ptCount val="1"/>
                <c:pt idx="0">
                  <c:v>Whelks</c:v>
                </c:pt>
              </c:strCache>
            </c:strRef>
          </c:tx>
          <c:spPr>
            <a:solidFill>
              <a:srgbClr val="C1D119"/>
            </a:solidFill>
            <a:ln>
              <a:solidFill>
                <a:srgbClr val="FFFFFF"/>
              </a:solidFill>
            </a:ln>
          </c:spPr>
          <c:invertIfNegative val="0"/>
          <c:cat>
            <c:numRef>
              <c:f>'Pots and traps 10-12m'!$D$92:$M$92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10-12m'!$D$96:$M$96</c:f>
              <c:numCache>
                <c:formatCode>0%</c:formatCode>
                <c:ptCount val="10"/>
                <c:pt idx="0">
                  <c:v>0.12550659003101039</c:v>
                </c:pt>
                <c:pt idx="1">
                  <c:v>0.14715178025286124</c:v>
                </c:pt>
                <c:pt idx="2">
                  <c:v>0.18638991569836347</c:v>
                </c:pt>
                <c:pt idx="3">
                  <c:v>0.21084098051803477</c:v>
                </c:pt>
                <c:pt idx="4">
                  <c:v>0.19977110416799473</c:v>
                </c:pt>
                <c:pt idx="5">
                  <c:v>0.15683679034065331</c:v>
                </c:pt>
                <c:pt idx="6">
                  <c:v>0.12919020980270482</c:v>
                </c:pt>
                <c:pt idx="7">
                  <c:v>0.19490830334702675</c:v>
                </c:pt>
                <c:pt idx="8">
                  <c:v>0.12507134133275774</c:v>
                </c:pt>
                <c:pt idx="9">
                  <c:v>0.13361491346469245</c:v>
                </c:pt>
              </c:numCache>
            </c:numRef>
          </c:val>
          <c:extLst>
            <c:ext xmlns:c16="http://schemas.microsoft.com/office/drawing/2014/chart" uri="{C3380CC4-5D6E-409C-BE32-E72D297353CC}">
              <c16:uniqueId val="{00000003-2510-4D0A-9B81-686F866DDEBA}"/>
            </c:ext>
          </c:extLst>
        </c:ser>
        <c:ser>
          <c:idx val="4"/>
          <c:order val="4"/>
          <c:tx>
            <c:strRef>
              <c:f>'Pots and traps 10-12m'!$C$97</c:f>
              <c:strCache>
                <c:ptCount val="1"/>
                <c:pt idx="0">
                  <c:v>Velvet Crab</c:v>
                </c:pt>
              </c:strCache>
            </c:strRef>
          </c:tx>
          <c:spPr>
            <a:solidFill>
              <a:srgbClr val="E84A38"/>
            </a:solidFill>
            <a:ln>
              <a:solidFill>
                <a:srgbClr val="FFFFFF"/>
              </a:solidFill>
            </a:ln>
          </c:spPr>
          <c:invertIfNegative val="0"/>
          <c:cat>
            <c:numRef>
              <c:f>'Pots and traps 10-12m'!$D$92:$M$92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10-12m'!$D$97:$M$97</c:f>
              <c:numCache>
                <c:formatCode>0%</c:formatCode>
                <c:ptCount val="10"/>
                <c:pt idx="0">
                  <c:v>4.2673539086851703E-2</c:v>
                </c:pt>
                <c:pt idx="1">
                  <c:v>4.241261186742562E-2</c:v>
                </c:pt>
                <c:pt idx="2">
                  <c:v>3.9869304856334088E-2</c:v>
                </c:pt>
                <c:pt idx="3">
                  <c:v>2.9338202984641817E-2</c:v>
                </c:pt>
                <c:pt idx="4">
                  <c:v>2.6289231720108028E-2</c:v>
                </c:pt>
                <c:pt idx="5">
                  <c:v>1.7046427841617192E-2</c:v>
                </c:pt>
                <c:pt idx="6">
                  <c:v>2.1116294173586448E-2</c:v>
                </c:pt>
                <c:pt idx="7">
                  <c:v>2.5841512296495346E-2</c:v>
                </c:pt>
                <c:pt idx="8">
                  <c:v>2.6774195456719843E-2</c:v>
                </c:pt>
                <c:pt idx="9">
                  <c:v>3.1798990653725961E-2</c:v>
                </c:pt>
              </c:numCache>
            </c:numRef>
          </c:val>
          <c:extLst>
            <c:ext xmlns:c16="http://schemas.microsoft.com/office/drawing/2014/chart" uri="{C3380CC4-5D6E-409C-BE32-E72D297353CC}">
              <c16:uniqueId val="{00000004-2510-4D0A-9B81-686F866DDEBA}"/>
            </c:ext>
          </c:extLst>
        </c:ser>
        <c:ser>
          <c:idx val="5"/>
          <c:order val="5"/>
          <c:tx>
            <c:strRef>
              <c:f>'Pots and traps 10-12m'!$C$98</c:f>
              <c:strCache>
                <c:ptCount val="1"/>
                <c:pt idx="0">
                  <c:v>Others</c:v>
                </c:pt>
              </c:strCache>
            </c:strRef>
          </c:tx>
          <c:spPr>
            <a:solidFill>
              <a:srgbClr val="55585A"/>
            </a:solidFill>
            <a:ln>
              <a:solidFill>
                <a:srgbClr val="FFFFFF"/>
              </a:solidFill>
            </a:ln>
          </c:spPr>
          <c:invertIfNegative val="0"/>
          <c:cat>
            <c:numRef>
              <c:f>'Pots and traps 10-12m'!$D$92:$M$92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10-12m'!$D$98:$M$98</c:f>
              <c:numCache>
                <c:formatCode>0%</c:formatCode>
                <c:ptCount val="10"/>
                <c:pt idx="0">
                  <c:v>4.1606153863379867E-2</c:v>
                </c:pt>
                <c:pt idx="1">
                  <c:v>3.5180657151089902E-2</c:v>
                </c:pt>
                <c:pt idx="2">
                  <c:v>2.7403972948724899E-2</c:v>
                </c:pt>
                <c:pt idx="3">
                  <c:v>3.6870146009705382E-2</c:v>
                </c:pt>
                <c:pt idx="4">
                  <c:v>3.2842924046257466E-2</c:v>
                </c:pt>
                <c:pt idx="5">
                  <c:v>3.3837336607344094E-2</c:v>
                </c:pt>
                <c:pt idx="6">
                  <c:v>4.3566374318584497E-2</c:v>
                </c:pt>
                <c:pt idx="7">
                  <c:v>4.5575047923882422E-2</c:v>
                </c:pt>
                <c:pt idx="8">
                  <c:v>4.2370982905273351E-2</c:v>
                </c:pt>
                <c:pt idx="9">
                  <c:v>4.3653129718421439E-2</c:v>
                </c:pt>
              </c:numCache>
            </c:numRef>
          </c:val>
          <c:extLst>
            <c:ext xmlns:c16="http://schemas.microsoft.com/office/drawing/2014/chart" uri="{C3380CC4-5D6E-409C-BE32-E72D297353CC}">
              <c16:uniqueId val="{00000005-2510-4D0A-9B81-686F866DDEB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10-12m'!$B$163</c:f>
              <c:strCache>
                <c:ptCount val="1"/>
                <c:pt idx="0">
                  <c:v>Whelks</c:v>
                </c:pt>
              </c:strCache>
            </c:strRef>
          </c:tx>
          <c:spPr>
            <a:solidFill>
              <a:srgbClr val="C1D119"/>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10-12m'!$C$163:$E$163</c:f>
              <c:numCache>
                <c:formatCode>0%</c:formatCode>
                <c:ptCount val="3"/>
                <c:pt idx="0">
                  <c:v>0.35153415561846424</c:v>
                </c:pt>
                <c:pt idx="1">
                  <c:v>0.4245623940723216</c:v>
                </c:pt>
                <c:pt idx="2">
                  <c:v>0.28229058628753279</c:v>
                </c:pt>
              </c:numCache>
            </c:numRef>
          </c:val>
          <c:extLst>
            <c:ext xmlns:c16="http://schemas.microsoft.com/office/drawing/2014/chart" uri="{C3380CC4-5D6E-409C-BE32-E72D297353CC}">
              <c16:uniqueId val="{00000000-3227-42A8-BF58-AB7BAA4A2EFC}"/>
            </c:ext>
          </c:extLst>
        </c:ser>
        <c:ser>
          <c:idx val="1"/>
          <c:order val="1"/>
          <c:tx>
            <c:strRef>
              <c:f>'Pots and traps 10-12m'!$B$164</c:f>
              <c:strCache>
                <c:ptCount val="1"/>
                <c:pt idx="0">
                  <c:v>Brown Crab</c:v>
                </c:pt>
              </c:strCache>
            </c:strRef>
          </c:tx>
          <c:spPr>
            <a:solidFill>
              <a:srgbClr val="2273B9"/>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10-12m'!$C$164:$E$164</c:f>
              <c:numCache>
                <c:formatCode>0%</c:formatCode>
                <c:ptCount val="3"/>
                <c:pt idx="0">
                  <c:v>0.51869307634003159</c:v>
                </c:pt>
                <c:pt idx="1">
                  <c:v>0.29406794852330004</c:v>
                </c:pt>
                <c:pt idx="2">
                  <c:v>0.42426669023965957</c:v>
                </c:pt>
              </c:numCache>
            </c:numRef>
          </c:val>
          <c:extLst>
            <c:ext xmlns:c16="http://schemas.microsoft.com/office/drawing/2014/chart" uri="{C3380CC4-5D6E-409C-BE32-E72D297353CC}">
              <c16:uniqueId val="{00000001-3227-42A8-BF58-AB7BAA4A2EFC}"/>
            </c:ext>
          </c:extLst>
        </c:ser>
        <c:ser>
          <c:idx val="2"/>
          <c:order val="2"/>
          <c:tx>
            <c:strRef>
              <c:f>'Pots and traps 10-12m'!$B$165</c:f>
              <c:strCache>
                <c:ptCount val="1"/>
                <c:pt idx="0">
                  <c:v>Nephrops</c:v>
                </c:pt>
              </c:strCache>
            </c:strRef>
          </c:tx>
          <c:spPr>
            <a:solidFill>
              <a:srgbClr val="648C2E"/>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10-12m'!$C$165:$E$165</c:f>
              <c:numCache>
                <c:formatCode>0%</c:formatCode>
                <c:ptCount val="3"/>
                <c:pt idx="0">
                  <c:v>1.7258741842433183E-2</c:v>
                </c:pt>
                <c:pt idx="1">
                  <c:v>8.959701037896127E-2</c:v>
                </c:pt>
                <c:pt idx="2">
                  <c:v>9.1720877989004204E-2</c:v>
                </c:pt>
              </c:numCache>
            </c:numRef>
          </c:val>
          <c:extLst>
            <c:ext xmlns:c16="http://schemas.microsoft.com/office/drawing/2014/chart" uri="{C3380CC4-5D6E-409C-BE32-E72D297353CC}">
              <c16:uniqueId val="{00000002-3227-42A8-BF58-AB7BAA4A2EFC}"/>
            </c:ext>
          </c:extLst>
        </c:ser>
        <c:ser>
          <c:idx val="3"/>
          <c:order val="3"/>
          <c:tx>
            <c:strRef>
              <c:f>'Pots and traps 10-12m'!$B$166</c:f>
              <c:strCache>
                <c:ptCount val="1"/>
                <c:pt idx="0">
                  <c:v>Pilchards</c:v>
                </c:pt>
              </c:strCache>
            </c:strRef>
          </c:tx>
          <c:spPr>
            <a:solidFill>
              <a:srgbClr val="0F9AA9"/>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10-12m'!$C$166:$E$166</c:f>
              <c:numCache>
                <c:formatCode>0%</c:formatCode>
                <c:ptCount val="3"/>
                <c:pt idx="0">
                  <c:v>0</c:v>
                </c:pt>
                <c:pt idx="1">
                  <c:v>7.6669354697787059E-2</c:v>
                </c:pt>
                <c:pt idx="2">
                  <c:v>0</c:v>
                </c:pt>
              </c:numCache>
            </c:numRef>
          </c:val>
          <c:extLst>
            <c:ext xmlns:c16="http://schemas.microsoft.com/office/drawing/2014/chart" uri="{C3380CC4-5D6E-409C-BE32-E72D297353CC}">
              <c16:uniqueId val="{00000003-3227-42A8-BF58-AB7BAA4A2EFC}"/>
            </c:ext>
          </c:extLst>
        </c:ser>
        <c:ser>
          <c:idx val="4"/>
          <c:order val="4"/>
          <c:tx>
            <c:strRef>
              <c:f>'Pots and traps 10-12m'!$B$167</c:f>
              <c:strCache>
                <c:ptCount val="1"/>
                <c:pt idx="0">
                  <c:v>Lobsters</c:v>
                </c:pt>
              </c:strCache>
            </c:strRef>
          </c:tx>
          <c:spPr>
            <a:solidFill>
              <a:srgbClr val="E87308"/>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10-12m'!$C$167:$E$167</c:f>
              <c:numCache>
                <c:formatCode>0%</c:formatCode>
                <c:ptCount val="3"/>
                <c:pt idx="0">
                  <c:v>6.9641932528776831E-2</c:v>
                </c:pt>
                <c:pt idx="1">
                  <c:v>5.6714331931723531E-2</c:v>
                </c:pt>
                <c:pt idx="2">
                  <c:v>7.4031477759429976E-2</c:v>
                </c:pt>
              </c:numCache>
            </c:numRef>
          </c:val>
          <c:extLst>
            <c:ext xmlns:c16="http://schemas.microsoft.com/office/drawing/2014/chart" uri="{C3380CC4-5D6E-409C-BE32-E72D297353CC}">
              <c16:uniqueId val="{00000004-3227-42A8-BF58-AB7BAA4A2EFC}"/>
            </c:ext>
          </c:extLst>
        </c:ser>
        <c:ser>
          <c:idx val="5"/>
          <c:order val="5"/>
          <c:tx>
            <c:strRef>
              <c:f>'Pots and traps 10-12m'!$B$168</c:f>
              <c:strCache>
                <c:ptCount val="1"/>
                <c:pt idx="0">
                  <c:v>Velvet Crab</c:v>
                </c:pt>
              </c:strCache>
            </c:strRef>
          </c:tx>
          <c:spPr>
            <a:solidFill>
              <a:srgbClr val="E84A38"/>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10-12m'!$C$168:$E$168</c:f>
              <c:numCache>
                <c:formatCode>0%</c:formatCode>
                <c:ptCount val="3"/>
                <c:pt idx="0">
                  <c:v>1.4883771611637529E-2</c:v>
                </c:pt>
                <c:pt idx="1">
                  <c:v>0</c:v>
                </c:pt>
                <c:pt idx="2">
                  <c:v>9.2580886621300582E-2</c:v>
                </c:pt>
              </c:numCache>
            </c:numRef>
          </c:val>
          <c:extLst>
            <c:ext xmlns:c16="http://schemas.microsoft.com/office/drawing/2014/chart" uri="{C3380CC4-5D6E-409C-BE32-E72D297353CC}">
              <c16:uniqueId val="{00000005-3227-42A8-BF58-AB7BAA4A2EFC}"/>
            </c:ext>
          </c:extLst>
        </c:ser>
        <c:ser>
          <c:idx val="6"/>
          <c:order val="6"/>
          <c:tx>
            <c:strRef>
              <c:f>'Pots and traps 10-12m'!$B$169</c:f>
              <c:strCache>
                <c:ptCount val="1"/>
                <c:pt idx="0">
                  <c:v>Others</c:v>
                </c:pt>
              </c:strCache>
            </c:strRef>
          </c:tx>
          <c:spPr>
            <a:solidFill>
              <a:srgbClr val="55585A"/>
            </a:solidFill>
            <a:ln>
              <a:solidFill>
                <a:srgbClr val="FFFFFF"/>
              </a:solidFill>
            </a:ln>
          </c:spPr>
          <c:invertIfNegative val="0"/>
          <c:cat>
            <c:strRef>
              <c:f>'Pots and traps 10-12m'!$C$162:$E$162</c:f>
              <c:strCache>
                <c:ptCount val="3"/>
                <c:pt idx="0">
                  <c:v>Most
profitable
quartile</c:v>
                </c:pt>
                <c:pt idx="1">
                  <c:v>Middle 
two quartiles</c:v>
                </c:pt>
                <c:pt idx="2">
                  <c:v>Least
profitable
quartile</c:v>
                </c:pt>
              </c:strCache>
            </c:strRef>
          </c:cat>
          <c:val>
            <c:numRef>
              <c:f>'Pots and traps 10-12m'!$C$169:$E$169</c:f>
              <c:numCache>
                <c:formatCode>0%</c:formatCode>
                <c:ptCount val="3"/>
                <c:pt idx="0">
                  <c:v>2.7988322058656645E-2</c:v>
                </c:pt>
                <c:pt idx="1">
                  <c:v>5.8388960395906575E-2</c:v>
                </c:pt>
                <c:pt idx="2">
                  <c:v>3.5109481103072882E-2</c:v>
                </c:pt>
              </c:numCache>
            </c:numRef>
          </c:val>
          <c:extLst>
            <c:ext xmlns:c16="http://schemas.microsoft.com/office/drawing/2014/chart" uri="{C3380CC4-5D6E-409C-BE32-E72D297353CC}">
              <c16:uniqueId val="{00000006-3227-42A8-BF58-AB7BAA4A2EFC}"/>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10-12m'!$H$163</c:f>
              <c:strCache>
                <c:ptCount val="1"/>
                <c:pt idx="0">
                  <c:v>Nephrops</c:v>
                </c:pt>
              </c:strCache>
            </c:strRef>
          </c:tx>
          <c:spPr>
            <a:solidFill>
              <a:srgbClr val="648C2E"/>
            </a:solidFill>
            <a:ln>
              <a:solidFill>
                <a:srgbClr val="FFFFFF"/>
              </a:solidFill>
            </a:ln>
          </c:spPr>
          <c:invertIfNegative val="0"/>
          <c:cat>
            <c:strRef>
              <c:f>'Pots and traps 10-12m'!$I$162:$K$162</c:f>
              <c:strCache>
                <c:ptCount val="3"/>
                <c:pt idx="0">
                  <c:v>Most
profitable
quartile</c:v>
                </c:pt>
                <c:pt idx="1">
                  <c:v>Middle 
two quartiles</c:v>
                </c:pt>
                <c:pt idx="2">
                  <c:v>Least
profitable
quartile</c:v>
                </c:pt>
              </c:strCache>
            </c:strRef>
          </c:cat>
          <c:val>
            <c:numRef>
              <c:f>'Pots and traps 10-12m'!$I$163:$K$163</c:f>
              <c:numCache>
                <c:formatCode>0%</c:formatCode>
                <c:ptCount val="3"/>
                <c:pt idx="0">
                  <c:v>5.403506085793279E-2</c:v>
                </c:pt>
                <c:pt idx="1">
                  <c:v>0.28554261510493584</c:v>
                </c:pt>
                <c:pt idx="2">
                  <c:v>0.24972491319397899</c:v>
                </c:pt>
              </c:numCache>
            </c:numRef>
          </c:val>
          <c:extLst>
            <c:ext xmlns:c16="http://schemas.microsoft.com/office/drawing/2014/chart" uri="{C3380CC4-5D6E-409C-BE32-E72D297353CC}">
              <c16:uniqueId val="{00000000-7276-4412-BEC9-935C3928B1F4}"/>
            </c:ext>
          </c:extLst>
        </c:ser>
        <c:ser>
          <c:idx val="1"/>
          <c:order val="1"/>
          <c:tx>
            <c:strRef>
              <c:f>'Pots and traps 10-12m'!$H$164</c:f>
              <c:strCache>
                <c:ptCount val="1"/>
                <c:pt idx="0">
                  <c:v>Lobsters</c:v>
                </c:pt>
              </c:strCache>
            </c:strRef>
          </c:tx>
          <c:spPr>
            <a:solidFill>
              <a:srgbClr val="E87308"/>
            </a:solidFill>
            <a:ln>
              <a:solidFill>
                <a:srgbClr val="FFFFFF"/>
              </a:solidFill>
            </a:ln>
          </c:spPr>
          <c:invertIfNegative val="0"/>
          <c:cat>
            <c:strRef>
              <c:f>'Pots and traps 10-12m'!$I$162:$K$162</c:f>
              <c:strCache>
                <c:ptCount val="3"/>
                <c:pt idx="0">
                  <c:v>Most
profitable
quartile</c:v>
                </c:pt>
                <c:pt idx="1">
                  <c:v>Middle 
two quartiles</c:v>
                </c:pt>
                <c:pt idx="2">
                  <c:v>Least
profitable
quartile</c:v>
                </c:pt>
              </c:strCache>
            </c:strRef>
          </c:cat>
          <c:val>
            <c:numRef>
              <c:f>'Pots and traps 10-12m'!$I$164:$K$164</c:f>
              <c:numCache>
                <c:formatCode>0%</c:formatCode>
                <c:ptCount val="3"/>
                <c:pt idx="0">
                  <c:v>0.31006991039367149</c:v>
                </c:pt>
                <c:pt idx="1">
                  <c:v>0.27779696575097562</c:v>
                </c:pt>
                <c:pt idx="2">
                  <c:v>0.30078037329844498</c:v>
                </c:pt>
              </c:numCache>
            </c:numRef>
          </c:val>
          <c:extLst>
            <c:ext xmlns:c16="http://schemas.microsoft.com/office/drawing/2014/chart" uri="{C3380CC4-5D6E-409C-BE32-E72D297353CC}">
              <c16:uniqueId val="{00000001-7276-4412-BEC9-935C3928B1F4}"/>
            </c:ext>
          </c:extLst>
        </c:ser>
        <c:ser>
          <c:idx val="2"/>
          <c:order val="2"/>
          <c:tx>
            <c:strRef>
              <c:f>'Pots and traps 10-12m'!$H$165</c:f>
              <c:strCache>
                <c:ptCount val="1"/>
                <c:pt idx="0">
                  <c:v>Brown Crab</c:v>
                </c:pt>
              </c:strCache>
            </c:strRef>
          </c:tx>
          <c:spPr>
            <a:solidFill>
              <a:srgbClr val="2273B9"/>
            </a:solidFill>
            <a:ln>
              <a:solidFill>
                <a:srgbClr val="FFFFFF"/>
              </a:solidFill>
            </a:ln>
          </c:spPr>
          <c:invertIfNegative val="0"/>
          <c:cat>
            <c:strRef>
              <c:f>'Pots and traps 10-12m'!$I$162:$K$162</c:f>
              <c:strCache>
                <c:ptCount val="3"/>
                <c:pt idx="0">
                  <c:v>Most
profitable
quartile</c:v>
                </c:pt>
                <c:pt idx="1">
                  <c:v>Middle 
two quartiles</c:v>
                </c:pt>
                <c:pt idx="2">
                  <c:v>Least
profitable
quartile</c:v>
                </c:pt>
              </c:strCache>
            </c:strRef>
          </c:cat>
          <c:val>
            <c:numRef>
              <c:f>'Pots and traps 10-12m'!$I$165:$K$165</c:f>
              <c:numCache>
                <c:formatCode>0%</c:formatCode>
                <c:ptCount val="3"/>
                <c:pt idx="0">
                  <c:v>0.47814930194720828</c:v>
                </c:pt>
                <c:pt idx="1">
                  <c:v>0.2140452580623321</c:v>
                </c:pt>
                <c:pt idx="2">
                  <c:v>0.26760748652301258</c:v>
                </c:pt>
              </c:numCache>
            </c:numRef>
          </c:val>
          <c:extLst>
            <c:ext xmlns:c16="http://schemas.microsoft.com/office/drawing/2014/chart" uri="{C3380CC4-5D6E-409C-BE32-E72D297353CC}">
              <c16:uniqueId val="{00000002-7276-4412-BEC9-935C3928B1F4}"/>
            </c:ext>
          </c:extLst>
        </c:ser>
        <c:ser>
          <c:idx val="3"/>
          <c:order val="3"/>
          <c:tx>
            <c:strRef>
              <c:f>'Pots and traps 10-12m'!$H$166</c:f>
              <c:strCache>
                <c:ptCount val="1"/>
                <c:pt idx="0">
                  <c:v>Whelks</c:v>
                </c:pt>
              </c:strCache>
            </c:strRef>
          </c:tx>
          <c:spPr>
            <a:solidFill>
              <a:srgbClr val="C1D119"/>
            </a:solidFill>
            <a:ln>
              <a:solidFill>
                <a:srgbClr val="FFFFFF"/>
              </a:solidFill>
            </a:ln>
          </c:spPr>
          <c:invertIfNegative val="0"/>
          <c:cat>
            <c:strRef>
              <c:f>'Pots and traps 10-12m'!$I$162:$K$162</c:f>
              <c:strCache>
                <c:ptCount val="3"/>
                <c:pt idx="0">
                  <c:v>Most
profitable
quartile</c:v>
                </c:pt>
                <c:pt idx="1">
                  <c:v>Middle 
two quartiles</c:v>
                </c:pt>
                <c:pt idx="2">
                  <c:v>Least
profitable
quartile</c:v>
                </c:pt>
              </c:strCache>
            </c:strRef>
          </c:cat>
          <c:val>
            <c:numRef>
              <c:f>'Pots and traps 10-12m'!$I$166:$K$166</c:f>
              <c:numCache>
                <c:formatCode>0%</c:formatCode>
                <c:ptCount val="3"/>
                <c:pt idx="0">
                  <c:v>0.11253842355493208</c:v>
                </c:pt>
                <c:pt idx="1">
                  <c:v>0.14761282921060281</c:v>
                </c:pt>
                <c:pt idx="2">
                  <c:v>8.1023181848241199E-2</c:v>
                </c:pt>
              </c:numCache>
            </c:numRef>
          </c:val>
          <c:extLst>
            <c:ext xmlns:c16="http://schemas.microsoft.com/office/drawing/2014/chart" uri="{C3380CC4-5D6E-409C-BE32-E72D297353CC}">
              <c16:uniqueId val="{00000003-7276-4412-BEC9-935C3928B1F4}"/>
            </c:ext>
          </c:extLst>
        </c:ser>
        <c:ser>
          <c:idx val="4"/>
          <c:order val="4"/>
          <c:tx>
            <c:strRef>
              <c:f>'Pots and traps 10-12m'!$H$167</c:f>
              <c:strCache>
                <c:ptCount val="1"/>
                <c:pt idx="0">
                  <c:v>Velvet Crab</c:v>
                </c:pt>
              </c:strCache>
            </c:strRef>
          </c:tx>
          <c:spPr>
            <a:solidFill>
              <a:srgbClr val="E84A38"/>
            </a:solidFill>
            <a:ln>
              <a:solidFill>
                <a:srgbClr val="FFFFFF"/>
              </a:solidFill>
            </a:ln>
          </c:spPr>
          <c:invertIfNegative val="0"/>
          <c:cat>
            <c:strRef>
              <c:f>'Pots and traps 10-12m'!$I$162:$K$162</c:f>
              <c:strCache>
                <c:ptCount val="3"/>
                <c:pt idx="0">
                  <c:v>Most
profitable
quartile</c:v>
                </c:pt>
                <c:pt idx="1">
                  <c:v>Middle 
two quartiles</c:v>
                </c:pt>
                <c:pt idx="2">
                  <c:v>Least
profitable
quartile</c:v>
                </c:pt>
              </c:strCache>
            </c:strRef>
          </c:cat>
          <c:val>
            <c:numRef>
              <c:f>'Pots and traps 10-12m'!$I$167:$K$167</c:f>
              <c:numCache>
                <c:formatCode>0%</c:formatCode>
                <c:ptCount val="3"/>
                <c:pt idx="0">
                  <c:v>0</c:v>
                </c:pt>
                <c:pt idx="1">
                  <c:v>2.6259231819616573E-2</c:v>
                </c:pt>
                <c:pt idx="2">
                  <c:v>7.736040054732668E-2</c:v>
                </c:pt>
              </c:numCache>
            </c:numRef>
          </c:val>
          <c:extLst>
            <c:ext xmlns:c16="http://schemas.microsoft.com/office/drawing/2014/chart" uri="{C3380CC4-5D6E-409C-BE32-E72D297353CC}">
              <c16:uniqueId val="{00000004-7276-4412-BEC9-935C3928B1F4}"/>
            </c:ext>
          </c:extLst>
        </c:ser>
        <c:ser>
          <c:idx val="5"/>
          <c:order val="5"/>
          <c:tx>
            <c:strRef>
              <c:f>'Pots and traps 10-12m'!$H$168</c:f>
              <c:strCache>
                <c:ptCount val="1"/>
                <c:pt idx="0">
                  <c:v>Others</c:v>
                </c:pt>
              </c:strCache>
            </c:strRef>
          </c:tx>
          <c:spPr>
            <a:solidFill>
              <a:srgbClr val="55585A"/>
            </a:solidFill>
            <a:ln>
              <a:solidFill>
                <a:srgbClr val="FFFFFF"/>
              </a:solidFill>
            </a:ln>
          </c:spPr>
          <c:invertIfNegative val="0"/>
          <c:cat>
            <c:strRef>
              <c:f>'Pots and traps 10-12m'!$I$162:$K$162</c:f>
              <c:strCache>
                <c:ptCount val="3"/>
                <c:pt idx="0">
                  <c:v>Most
profitable
quartile</c:v>
                </c:pt>
                <c:pt idx="1">
                  <c:v>Middle 
two quartiles</c:v>
                </c:pt>
                <c:pt idx="2">
                  <c:v>Least
profitable
quartile</c:v>
                </c:pt>
              </c:strCache>
            </c:strRef>
          </c:cat>
          <c:val>
            <c:numRef>
              <c:f>'Pots and traps 10-12m'!$I$168:$K$168</c:f>
              <c:numCache>
                <c:formatCode>0%</c:formatCode>
                <c:ptCount val="3"/>
                <c:pt idx="0">
                  <c:v>3.3254639974843236E-2</c:v>
                </c:pt>
                <c:pt idx="1">
                  <c:v>4.8743100051537147E-2</c:v>
                </c:pt>
                <c:pt idx="2">
                  <c:v>2.3503644588995565E-2</c:v>
                </c:pt>
              </c:numCache>
            </c:numRef>
          </c:val>
          <c:extLst>
            <c:ext xmlns:c16="http://schemas.microsoft.com/office/drawing/2014/chart" uri="{C3380CC4-5D6E-409C-BE32-E72D297353CC}">
              <c16:uniqueId val="{00000005-7276-4412-BEC9-935C3928B1F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10-12m'!$K$140</c:f>
              <c:strCache>
                <c:ptCount val="1"/>
                <c:pt idx="0">
                  <c:v>Total income</c:v>
                </c:pt>
              </c:strCache>
            </c:strRef>
          </c:tx>
          <c:spPr>
            <a:solidFill>
              <a:srgbClr val="087CBB"/>
            </a:solidFill>
            <a:ln>
              <a:solidFill>
                <a:schemeClr val="accent1"/>
              </a:solidFill>
            </a:ln>
          </c:spPr>
          <c:invertIfNegative val="0"/>
          <c:cat>
            <c:strRef>
              <c:f>'Pots and traps 10-12m'!$L$139:$N$139</c:f>
              <c:strCache>
                <c:ptCount val="3"/>
                <c:pt idx="0">
                  <c:v>Most
profitable
quartile</c:v>
                </c:pt>
                <c:pt idx="1">
                  <c:v>Middle
two quartiles</c:v>
                </c:pt>
                <c:pt idx="2">
                  <c:v>Least
profitable
quartile</c:v>
                </c:pt>
              </c:strCache>
            </c:strRef>
          </c:cat>
          <c:val>
            <c:numRef>
              <c:f>'Pots and traps 10-12m'!$L$140:$N$140</c:f>
              <c:numCache>
                <c:formatCode>#,##0</c:formatCode>
                <c:ptCount val="3"/>
                <c:pt idx="0">
                  <c:v>304.10412500000001</c:v>
                </c:pt>
                <c:pt idx="1">
                  <c:v>188.57152343749999</c:v>
                </c:pt>
                <c:pt idx="2">
                  <c:v>99.844703124999995</c:v>
                </c:pt>
              </c:numCache>
            </c:numRef>
          </c:val>
          <c:extLst>
            <c:ext xmlns:c16="http://schemas.microsoft.com/office/drawing/2014/chart" uri="{C3380CC4-5D6E-409C-BE32-E72D297353CC}">
              <c16:uniqueId val="{00000000-6FAC-4F81-BA65-DE2E9FF5D4FB}"/>
            </c:ext>
          </c:extLst>
        </c:ser>
        <c:ser>
          <c:idx val="1"/>
          <c:order val="1"/>
          <c:tx>
            <c:strRef>
              <c:f>'Pots and traps 10-12m'!$K$141</c:f>
              <c:strCache>
                <c:ptCount val="1"/>
                <c:pt idx="0">
                  <c:v>Operating costs</c:v>
                </c:pt>
              </c:strCache>
            </c:strRef>
          </c:tx>
          <c:spPr>
            <a:solidFill>
              <a:srgbClr val="E87308"/>
            </a:solidFill>
          </c:spPr>
          <c:invertIfNegative val="0"/>
          <c:cat>
            <c:strRef>
              <c:f>'Pots and traps 10-12m'!$L$139:$N$139</c:f>
              <c:strCache>
                <c:ptCount val="3"/>
                <c:pt idx="0">
                  <c:v>Most
profitable
quartile</c:v>
                </c:pt>
                <c:pt idx="1">
                  <c:v>Middle
two quartiles</c:v>
                </c:pt>
                <c:pt idx="2">
                  <c:v>Least
profitable
quartile</c:v>
                </c:pt>
              </c:strCache>
            </c:strRef>
          </c:cat>
          <c:val>
            <c:numRef>
              <c:f>'Pots and traps 10-12m'!$L$141:$N$141</c:f>
              <c:numCache>
                <c:formatCode>#,##0</c:formatCode>
                <c:ptCount val="3"/>
                <c:pt idx="0">
                  <c:v>195.633359375</c:v>
                </c:pt>
                <c:pt idx="1">
                  <c:v>128.34081640625001</c:v>
                </c:pt>
                <c:pt idx="2">
                  <c:v>74.675382812500004</c:v>
                </c:pt>
              </c:numCache>
            </c:numRef>
          </c:val>
          <c:extLst>
            <c:ext xmlns:c16="http://schemas.microsoft.com/office/drawing/2014/chart" uri="{C3380CC4-5D6E-409C-BE32-E72D297353CC}">
              <c16:uniqueId val="{00000001-6FAC-4F81-BA65-DE2E9FF5D4FB}"/>
            </c:ext>
          </c:extLst>
        </c:ser>
        <c:ser>
          <c:idx val="2"/>
          <c:order val="2"/>
          <c:tx>
            <c:strRef>
              <c:f>'Pots and traps 10-12m'!$K$142</c:f>
              <c:strCache>
                <c:ptCount val="1"/>
                <c:pt idx="0">
                  <c:v>Operating profit</c:v>
                </c:pt>
              </c:strCache>
            </c:strRef>
          </c:tx>
          <c:spPr>
            <a:solidFill>
              <a:srgbClr val="51AA81"/>
            </a:solidFill>
          </c:spPr>
          <c:invertIfNegative val="0"/>
          <c:cat>
            <c:strRef>
              <c:f>'Pots and traps 10-12m'!$L$139:$N$139</c:f>
              <c:strCache>
                <c:ptCount val="3"/>
                <c:pt idx="0">
                  <c:v>Most
profitable
quartile</c:v>
                </c:pt>
                <c:pt idx="1">
                  <c:v>Middle
two quartiles</c:v>
                </c:pt>
                <c:pt idx="2">
                  <c:v>Least
profitable
quartile</c:v>
                </c:pt>
              </c:strCache>
            </c:strRef>
          </c:cat>
          <c:val>
            <c:numRef>
              <c:f>'Pots and traps 10-12m'!$L$142:$N$142</c:f>
              <c:numCache>
                <c:formatCode>#,##0</c:formatCode>
                <c:ptCount val="3"/>
                <c:pt idx="0">
                  <c:v>108.470765625</c:v>
                </c:pt>
                <c:pt idx="1">
                  <c:v>60.230707031249999</c:v>
                </c:pt>
                <c:pt idx="2">
                  <c:v>25.169320312499998</c:v>
                </c:pt>
              </c:numCache>
            </c:numRef>
          </c:val>
          <c:extLst>
            <c:ext xmlns:c16="http://schemas.microsoft.com/office/drawing/2014/chart" uri="{C3380CC4-5D6E-409C-BE32-E72D297353CC}">
              <c16:uniqueId val="{00000002-6FAC-4F81-BA65-DE2E9FF5D4F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'Pots and traps 10-12m'!$K$143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12m'!$A$49</c:f>
          <c:strCache>
            <c:ptCount val="1"/>
            <c:pt idx="0">
              <c:v>Landings per kW day at sea (kg)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EFD0-430E-8AAF-76050A79F2A9}"/>
              </c:ext>
            </c:extLst>
          </c:dPt>
          <c:dPt>
            <c:idx val="10"/>
            <c:bubble3D val="0"/>
            <c:spPr>
              <a:ln w="57150">
                <a:solidFill>
                  <a:srgbClr val="2273B9"/>
                </a:solidFill>
                <a:prstDash val="sysDot"/>
              </a:ln>
            </c:spPr>
            <c:extLst>
              <c:ext xmlns:c16="http://schemas.microsoft.com/office/drawing/2014/chart" uri="{C3380CC4-5D6E-409C-BE32-E72D297353CC}">
                <c16:uniqueId val="{00000003-EFD0-430E-8AAF-76050A79F2A9}"/>
              </c:ext>
            </c:extLst>
          </c:dPt>
          <c:cat>
            <c:numRef>
              <c:f>'Pots and traps over 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over 12m'!$D$22:$N$22</c:f>
              <c:numCache>
                <c:formatCode>#,##0.00</c:formatCode>
                <c:ptCount val="11"/>
                <c:pt idx="0">
                  <c:v>5.430499599920056</c:v>
                </c:pt>
                <c:pt idx="1">
                  <c:v>5.6415424518585287</c:v>
                </c:pt>
                <c:pt idx="2">
                  <c:v>6.2666534463306274</c:v>
                </c:pt>
                <c:pt idx="3">
                  <c:v>5.9638409662085046</c:v>
                </c:pt>
                <c:pt idx="4">
                  <c:v>5.9470561964116566</c:v>
                </c:pt>
                <c:pt idx="5">
                  <c:v>5.6220336751906181</c:v>
                </c:pt>
                <c:pt idx="6">
                  <c:v>5.7578624104398548</c:v>
                </c:pt>
                <c:pt idx="7">
                  <c:v>5.0093422614893974</c:v>
                </c:pt>
                <c:pt idx="8">
                  <c:v>4.8249523043358833</c:v>
                </c:pt>
                <c:pt idx="9">
                  <c:v>4.6480015759087863</c:v>
                </c:pt>
                <c:pt idx="10">
                  <c:v>4.0218295742310826</c:v>
                </c:pt>
              </c:numCache>
            </c:numRef>
          </c:val>
          <c:smooth val="0"/>
          <c:extLst>
            <c:ext xmlns:c16="http://schemas.microsoft.com/office/drawing/2014/chart" uri="{C3380CC4-5D6E-409C-BE32-E72D297353CC}">
              <c16:uniqueId val="{00000004-EFD0-430E-8AAF-76050A79F2A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o250kW'!$H$163</c:f>
              <c:strCache>
                <c:ptCount val="1"/>
                <c:pt idx="0">
                  <c:v>Nephrops</c:v>
                </c:pt>
              </c:strCache>
            </c:strRef>
          </c:tx>
          <c:spPr>
            <a:solidFill>
              <a:srgbClr val="2273B9"/>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o250kW'!$I$163:$K$163</c:f>
              <c:numCache>
                <c:formatCode>0%</c:formatCode>
                <c:ptCount val="3"/>
                <c:pt idx="0">
                  <c:v>0.93064577638006685</c:v>
                </c:pt>
                <c:pt idx="1">
                  <c:v>0.92267955114066014</c:v>
                </c:pt>
                <c:pt idx="2">
                  <c:v>0.9245588926785554</c:v>
                </c:pt>
              </c:numCache>
            </c:numRef>
          </c:val>
          <c:extLst>
            <c:ext xmlns:c16="http://schemas.microsoft.com/office/drawing/2014/chart" uri="{C3380CC4-5D6E-409C-BE32-E72D297353CC}">
              <c16:uniqueId val="{00000000-92F9-4FB2-BB40-F842501A67C8}"/>
            </c:ext>
          </c:extLst>
        </c:ser>
        <c:ser>
          <c:idx val="1"/>
          <c:order val="1"/>
          <c:tx>
            <c:strRef>
              <c:f>'Area VIIa nephrops o250kW'!$H$164</c:f>
              <c:strCache>
                <c:ptCount val="1"/>
                <c:pt idx="0">
                  <c:v>Anglerfish</c:v>
                </c:pt>
              </c:strCache>
            </c:strRef>
          </c:tx>
          <c:spPr>
            <a:solidFill>
              <a:srgbClr val="E87308"/>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o250kW'!$I$164:$K$164</c:f>
              <c:numCache>
                <c:formatCode>0%</c:formatCode>
                <c:ptCount val="3"/>
                <c:pt idx="0">
                  <c:v>2.2619216051641283E-2</c:v>
                </c:pt>
                <c:pt idx="1">
                  <c:v>2.7834779363899571E-2</c:v>
                </c:pt>
                <c:pt idx="2">
                  <c:v>2.2915311519573184E-2</c:v>
                </c:pt>
              </c:numCache>
            </c:numRef>
          </c:val>
          <c:extLst>
            <c:ext xmlns:c16="http://schemas.microsoft.com/office/drawing/2014/chart" uri="{C3380CC4-5D6E-409C-BE32-E72D297353CC}">
              <c16:uniqueId val="{00000001-92F9-4FB2-BB40-F842501A67C8}"/>
            </c:ext>
          </c:extLst>
        </c:ser>
        <c:ser>
          <c:idx val="2"/>
          <c:order val="2"/>
          <c:tx>
            <c:strRef>
              <c:f>'Area VIIa nephrops o250kW'!$H$165</c:f>
              <c:strCache>
                <c:ptCount val="1"/>
                <c:pt idx="0">
                  <c:v>Les. Spot. Dog</c:v>
                </c:pt>
              </c:strCache>
            </c:strRef>
          </c:tx>
          <c:spPr>
            <a:solidFill>
              <a:srgbClr val="648C2E"/>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o250kW'!$I$165:$K$165</c:f>
              <c:numCache>
                <c:formatCode>0%</c:formatCode>
                <c:ptCount val="3"/>
                <c:pt idx="0">
                  <c:v>6.707894663602605E-3</c:v>
                </c:pt>
                <c:pt idx="1">
                  <c:v>1.1914152769710706E-2</c:v>
                </c:pt>
                <c:pt idx="2">
                  <c:v>8.592880030996751E-3</c:v>
                </c:pt>
              </c:numCache>
            </c:numRef>
          </c:val>
          <c:extLst>
            <c:ext xmlns:c16="http://schemas.microsoft.com/office/drawing/2014/chart" uri="{C3380CC4-5D6E-409C-BE32-E72D297353CC}">
              <c16:uniqueId val="{00000002-92F9-4FB2-BB40-F842501A67C8}"/>
            </c:ext>
          </c:extLst>
        </c:ser>
        <c:ser>
          <c:idx val="3"/>
          <c:order val="3"/>
          <c:tx>
            <c:strRef>
              <c:f>'Area VIIa nephrops o250kW'!$H$166</c:f>
              <c:strCache>
                <c:ptCount val="1"/>
                <c:pt idx="0">
                  <c:v>Sole</c:v>
                </c:pt>
              </c:strCache>
            </c:strRef>
          </c:tx>
          <c:spPr>
            <a:solidFill>
              <a:srgbClr val="C1D119"/>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o250kW'!$I$166:$K$166</c:f>
              <c:numCache>
                <c:formatCode>0%</c:formatCode>
                <c:ptCount val="3"/>
                <c:pt idx="0">
                  <c:v>0</c:v>
                </c:pt>
                <c:pt idx="1">
                  <c:v>9.7100996275620403E-3</c:v>
                </c:pt>
                <c:pt idx="2">
                  <c:v>0</c:v>
                </c:pt>
              </c:numCache>
            </c:numRef>
          </c:val>
          <c:extLst>
            <c:ext xmlns:c16="http://schemas.microsoft.com/office/drawing/2014/chart" uri="{C3380CC4-5D6E-409C-BE32-E72D297353CC}">
              <c16:uniqueId val="{00000003-92F9-4FB2-BB40-F842501A67C8}"/>
            </c:ext>
          </c:extLst>
        </c:ser>
        <c:ser>
          <c:idx val="4"/>
          <c:order val="4"/>
          <c:tx>
            <c:strRef>
              <c:f>'Area VIIa nephrops o250kW'!$H$167</c:f>
              <c:strCache>
                <c:ptCount val="1"/>
                <c:pt idx="0">
                  <c:v>Haddock</c:v>
                </c:pt>
              </c:strCache>
            </c:strRef>
          </c:tx>
          <c:spPr>
            <a:solidFill>
              <a:srgbClr val="E84A38"/>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o250kW'!$I$167:$K$167</c:f>
              <c:numCache>
                <c:formatCode>0%</c:formatCode>
                <c:ptCount val="3"/>
                <c:pt idx="0">
                  <c:v>0</c:v>
                </c:pt>
                <c:pt idx="1">
                  <c:v>7.2730215788528712E-3</c:v>
                </c:pt>
                <c:pt idx="2">
                  <c:v>1.2199828614669977E-2</c:v>
                </c:pt>
              </c:numCache>
            </c:numRef>
          </c:val>
          <c:extLst>
            <c:ext xmlns:c16="http://schemas.microsoft.com/office/drawing/2014/chart" uri="{C3380CC4-5D6E-409C-BE32-E72D297353CC}">
              <c16:uniqueId val="{00000004-92F9-4FB2-BB40-F842501A67C8}"/>
            </c:ext>
          </c:extLst>
        </c:ser>
        <c:ser>
          <c:idx val="5"/>
          <c:order val="5"/>
          <c:tx>
            <c:strRef>
              <c:f>'Area VIIa nephrops o250kW'!$H$168</c:f>
              <c:strCache>
                <c:ptCount val="1"/>
                <c:pt idx="0">
                  <c:v>Cod</c:v>
                </c:pt>
              </c:strCache>
            </c:strRef>
          </c:tx>
          <c:spPr>
            <a:solidFill>
              <a:srgbClr val="FED825"/>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o250kW'!$I$168:$K$168</c:f>
              <c:numCache>
                <c:formatCode>0%</c:formatCode>
                <c:ptCount val="3"/>
                <c:pt idx="0">
                  <c:v>0</c:v>
                </c:pt>
                <c:pt idx="1">
                  <c:v>0</c:v>
                </c:pt>
                <c:pt idx="2">
                  <c:v>6.8963028213386837E-3</c:v>
                </c:pt>
              </c:numCache>
            </c:numRef>
          </c:val>
          <c:extLst>
            <c:ext xmlns:c16="http://schemas.microsoft.com/office/drawing/2014/chart" uri="{C3380CC4-5D6E-409C-BE32-E72D297353CC}">
              <c16:uniqueId val="{00000005-92F9-4FB2-BB40-F842501A67C8}"/>
            </c:ext>
          </c:extLst>
        </c:ser>
        <c:ser>
          <c:idx val="6"/>
          <c:order val="6"/>
          <c:tx>
            <c:strRef>
              <c:f>'Area VIIa nephrops o250kW'!$H$169</c:f>
              <c:strCache>
                <c:ptCount val="1"/>
                <c:pt idx="0">
                  <c:v>Thornback Ray</c:v>
                </c:pt>
              </c:strCache>
            </c:strRef>
          </c:tx>
          <c:spPr>
            <a:solidFill>
              <a:srgbClr val="0F9AA9"/>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o250kW'!$I$169:$K$169</c:f>
              <c:numCache>
                <c:formatCode>0%</c:formatCode>
                <c:ptCount val="3"/>
                <c:pt idx="0">
                  <c:v>8.8992088667746438E-3</c:v>
                </c:pt>
                <c:pt idx="1">
                  <c:v>0</c:v>
                </c:pt>
                <c:pt idx="2">
                  <c:v>0</c:v>
                </c:pt>
              </c:numCache>
            </c:numRef>
          </c:val>
          <c:extLst>
            <c:ext xmlns:c16="http://schemas.microsoft.com/office/drawing/2014/chart" uri="{C3380CC4-5D6E-409C-BE32-E72D297353CC}">
              <c16:uniqueId val="{00000006-92F9-4FB2-BB40-F842501A67C8}"/>
            </c:ext>
          </c:extLst>
        </c:ser>
        <c:ser>
          <c:idx val="7"/>
          <c:order val="7"/>
          <c:tx>
            <c:strRef>
              <c:f>'Area VIIa nephrops o250kW'!$H$170</c:f>
              <c:strCache>
                <c:ptCount val="1"/>
                <c:pt idx="0">
                  <c:v>Brill</c:v>
                </c:pt>
              </c:strCache>
            </c:strRef>
          </c:tx>
          <c:spPr>
            <a:solidFill>
              <a:srgbClr val="707271"/>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o250kW'!$I$170:$K$170</c:f>
              <c:numCache>
                <c:formatCode>0%</c:formatCode>
                <c:ptCount val="3"/>
                <c:pt idx="0">
                  <c:v>6.7879883858907343E-3</c:v>
                </c:pt>
                <c:pt idx="1">
                  <c:v>0</c:v>
                </c:pt>
                <c:pt idx="2">
                  <c:v>0</c:v>
                </c:pt>
              </c:numCache>
            </c:numRef>
          </c:val>
          <c:extLst>
            <c:ext xmlns:c16="http://schemas.microsoft.com/office/drawing/2014/chart" uri="{C3380CC4-5D6E-409C-BE32-E72D297353CC}">
              <c16:uniqueId val="{00000007-92F9-4FB2-BB40-F842501A67C8}"/>
            </c:ext>
          </c:extLst>
        </c:ser>
        <c:ser>
          <c:idx val="8"/>
          <c:order val="8"/>
          <c:tx>
            <c:strRef>
              <c:f>'Area VIIa nephrops o250kW'!$H$171</c:f>
              <c:strCache>
                <c:ptCount val="1"/>
                <c:pt idx="0">
                  <c:v>Others</c:v>
                </c:pt>
              </c:strCache>
            </c:strRef>
          </c:tx>
          <c:spPr>
            <a:solidFill>
              <a:srgbClr val="55585A"/>
            </a:solidFill>
            <a:ln>
              <a:solidFill>
                <a:srgbClr val="FFFFFF"/>
              </a:solidFill>
            </a:ln>
          </c:spPr>
          <c:invertIfNegative val="0"/>
          <c:cat>
            <c:strRef>
              <c:f>'Area VIIa nephrops o250kW'!$I$162:$K$162</c:f>
              <c:strCache>
                <c:ptCount val="3"/>
                <c:pt idx="0">
                  <c:v>Most
profitable
quartile</c:v>
                </c:pt>
                <c:pt idx="1">
                  <c:v>Middle 
two quartiles</c:v>
                </c:pt>
                <c:pt idx="2">
                  <c:v>Least
profitable
quartile</c:v>
                </c:pt>
              </c:strCache>
            </c:strRef>
          </c:cat>
          <c:val>
            <c:numRef>
              <c:f>'Area VIIa nephrops o250kW'!$I$171:$K$171</c:f>
              <c:numCache>
                <c:formatCode>0%</c:formatCode>
                <c:ptCount val="3"/>
                <c:pt idx="0">
                  <c:v>2.4339915652023869E-2</c:v>
                </c:pt>
                <c:pt idx="1">
                  <c:v>2.0588395519314573E-2</c:v>
                </c:pt>
                <c:pt idx="2">
                  <c:v>2.4836784334866024E-2</c:v>
                </c:pt>
              </c:numCache>
            </c:numRef>
          </c:val>
          <c:extLst>
            <c:ext xmlns:c16="http://schemas.microsoft.com/office/drawing/2014/chart" uri="{C3380CC4-5D6E-409C-BE32-E72D297353CC}">
              <c16:uniqueId val="{00000008-92F9-4FB2-BB40-F842501A67C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12m'!$A$50</c:f>
          <c:strCache>
            <c:ptCount val="1"/>
            <c:pt idx="0">
              <c:v>Fishing income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B20C-4E6E-8A79-26B649C32263}"/>
              </c:ext>
            </c:extLst>
          </c:dPt>
          <c:dPt>
            <c:idx val="10"/>
            <c:bubble3D val="0"/>
            <c:spPr>
              <a:ln w="57150">
                <a:solidFill>
                  <a:srgbClr val="648C2E"/>
                </a:solidFill>
                <a:prstDash val="sysDot"/>
              </a:ln>
            </c:spPr>
            <c:extLst>
              <c:ext xmlns:c16="http://schemas.microsoft.com/office/drawing/2014/chart" uri="{C3380CC4-5D6E-409C-BE32-E72D297353CC}">
                <c16:uniqueId val="{00000003-B20C-4E6E-8A79-26B649C32263}"/>
              </c:ext>
            </c:extLst>
          </c:dPt>
          <c:cat>
            <c:numRef>
              <c:f>'Pots and traps over 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over 12m'!$D$23:$N$23</c:f>
              <c:numCache>
                <c:formatCode>#,##0.00</c:formatCode>
                <c:ptCount val="11"/>
                <c:pt idx="0">
                  <c:v>9.6401266624640396</c:v>
                </c:pt>
                <c:pt idx="1">
                  <c:v>10.6819274792686</c:v>
                </c:pt>
                <c:pt idx="2">
                  <c:v>11.6164065455814</c:v>
                </c:pt>
                <c:pt idx="3">
                  <c:v>10.9243135921636</c:v>
                </c:pt>
                <c:pt idx="4">
                  <c:v>11.4903245006196</c:v>
                </c:pt>
                <c:pt idx="5">
                  <c:v>12.0663299096794</c:v>
                </c:pt>
                <c:pt idx="6">
                  <c:v>13.9777995321367</c:v>
                </c:pt>
                <c:pt idx="7">
                  <c:v>12.896376526256899</c:v>
                </c:pt>
                <c:pt idx="8">
                  <c:v>9.6187788945573907</c:v>
                </c:pt>
                <c:pt idx="9">
                  <c:v>12.3898803230288</c:v>
                </c:pt>
                <c:pt idx="10">
                  <c:v>12.096000090750728</c:v>
                </c:pt>
              </c:numCache>
            </c:numRef>
          </c:val>
          <c:smooth val="0"/>
          <c:extLst>
            <c:ext xmlns:c16="http://schemas.microsoft.com/office/drawing/2014/chart" uri="{C3380CC4-5D6E-409C-BE32-E72D297353CC}">
              <c16:uniqueId val="{00000004-B20C-4E6E-8A79-26B649C32263}"/>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12m'!$B$63</c:f>
          <c:strCache>
            <c:ptCount val="1"/>
            <c:pt idx="0">
              <c:v>Total cost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E51-4B71-949A-CFCF8DE7CED8}"/>
              </c:ext>
            </c:extLst>
          </c:dPt>
          <c:dPt>
            <c:idx val="10"/>
            <c:bubble3D val="0"/>
            <c:spPr>
              <a:ln w="57150">
                <a:solidFill>
                  <a:srgbClr val="087CBB"/>
                </a:solidFill>
                <a:prstDash val="sysDot"/>
              </a:ln>
            </c:spPr>
            <c:extLst>
              <c:ext xmlns:c16="http://schemas.microsoft.com/office/drawing/2014/chart" uri="{C3380CC4-5D6E-409C-BE32-E72D297353CC}">
                <c16:uniqueId val="{00000003-0E51-4B71-949A-CFCF8DE7CED8}"/>
              </c:ext>
            </c:extLst>
          </c:dPt>
          <c:cat>
            <c:numRef>
              <c:f>'Pots and traps over 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over 12m'!$D$24:$N$24</c:f>
              <c:numCache>
                <c:formatCode>#,##0.00</c:formatCode>
                <c:ptCount val="11"/>
                <c:pt idx="0">
                  <c:v>8.8905423894672104</c:v>
                </c:pt>
                <c:pt idx="1">
                  <c:v>9.3943988742882603</c:v>
                </c:pt>
                <c:pt idx="2">
                  <c:v>9.7280521182367199</c:v>
                </c:pt>
                <c:pt idx="3">
                  <c:v>8.9541147629942905</c:v>
                </c:pt>
                <c:pt idx="4">
                  <c:v>9.0230856778559598</c:v>
                </c:pt>
                <c:pt idx="5">
                  <c:v>10.136919680442899</c:v>
                </c:pt>
                <c:pt idx="6">
                  <c:v>11.1456195621387</c:v>
                </c:pt>
                <c:pt idx="7">
                  <c:v>10.247525092169401</c:v>
                </c:pt>
                <c:pt idx="8">
                  <c:v>8.4672664024820108</c:v>
                </c:pt>
                <c:pt idx="9">
                  <c:v>10.1039392972625</c:v>
                </c:pt>
                <c:pt idx="10">
                  <c:v>10.344739018984626</c:v>
                </c:pt>
              </c:numCache>
            </c:numRef>
          </c:val>
          <c:smooth val="0"/>
          <c:extLst>
            <c:ext xmlns:c16="http://schemas.microsoft.com/office/drawing/2014/chart" uri="{C3380CC4-5D6E-409C-BE32-E72D297353CC}">
              <c16:uniqueId val="{00000004-0E51-4B71-949A-CFCF8DE7CED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12m'!$K$49</c:f>
          <c:strCache>
            <c:ptCount val="1"/>
            <c:pt idx="0">
              <c:v>Operating profit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ADB-4476-A791-FABBB2A450BA}"/>
              </c:ext>
            </c:extLst>
          </c:dPt>
          <c:dPt>
            <c:idx val="10"/>
            <c:bubble3D val="0"/>
            <c:spPr>
              <a:ln w="57150">
                <a:solidFill>
                  <a:schemeClr val="accent3"/>
                </a:solidFill>
                <a:prstDash val="sysDot"/>
              </a:ln>
            </c:spPr>
            <c:extLst>
              <c:ext xmlns:c16="http://schemas.microsoft.com/office/drawing/2014/chart" uri="{C3380CC4-5D6E-409C-BE32-E72D297353CC}">
                <c16:uniqueId val="{00000003-CADB-4476-A791-FABBB2A450BA}"/>
              </c:ext>
            </c:extLst>
          </c:dPt>
          <c:cat>
            <c:numRef>
              <c:f>'Pots and traps over 12m'!$D$2:$N$2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'Pots and traps over 12m'!$D$25:$N$25</c:f>
              <c:numCache>
                <c:formatCode>#,##0.00</c:formatCode>
                <c:ptCount val="11"/>
                <c:pt idx="0">
                  <c:v>2.1134498184893098</c:v>
                </c:pt>
                <c:pt idx="1">
                  <c:v>1.9447210069148599</c:v>
                </c:pt>
                <c:pt idx="2">
                  <c:v>2.4789035343088699</c:v>
                </c:pt>
                <c:pt idx="3">
                  <c:v>2.5524985385907302</c:v>
                </c:pt>
                <c:pt idx="4">
                  <c:v>2.7151662110582202</c:v>
                </c:pt>
                <c:pt idx="5">
                  <c:v>3.51589224809101</c:v>
                </c:pt>
                <c:pt idx="6">
                  <c:v>3.2491660075319699</c:v>
                </c:pt>
                <c:pt idx="7">
                  <c:v>3.0543951379093199</c:v>
                </c:pt>
                <c:pt idx="8">
                  <c:v>2.1112084777796398</c:v>
                </c:pt>
                <c:pt idx="9">
                  <c:v>2.6052358005722902</c:v>
                </c:pt>
                <c:pt idx="10">
                  <c:v>2.0148008765953165</c:v>
                </c:pt>
              </c:numCache>
            </c:numRef>
          </c:val>
          <c:smooth val="0"/>
          <c:extLst>
            <c:ext xmlns:c16="http://schemas.microsoft.com/office/drawing/2014/chart" uri="{C3380CC4-5D6E-409C-BE32-E72D297353CC}">
              <c16:uniqueId val="{00000004-CADB-4476-A791-FABBB2A450B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12m'!$A$51</c:f>
          <c:strCache>
            <c:ptCount val="1"/>
            <c:pt idx="0">
              <c:v>Average price per tonne landed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0EE-4FC0-9A75-9B2070C5A81B}"/>
              </c:ext>
            </c:extLst>
          </c:dPt>
          <c:dPt>
            <c:idx val="10"/>
            <c:bubble3D val="0"/>
            <c:spPr>
              <a:ln w="57150">
                <a:solidFill>
                  <a:schemeClr val="accent4"/>
                </a:solidFill>
                <a:prstDash val="sysDot"/>
              </a:ln>
            </c:spPr>
            <c:extLst>
              <c:ext xmlns:c16="http://schemas.microsoft.com/office/drawing/2014/chart" uri="{C3380CC4-5D6E-409C-BE32-E72D297353CC}">
                <c16:uniqueId val="{00000003-60EE-4FC0-9A75-9B2070C5A81B}"/>
              </c:ext>
            </c:extLst>
          </c:dPt>
          <c:cat>
            <c:numRef>
              <c:f>'Pots and traps over 12m'!$D$2:$M$2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12m'!$D$21:$N$21</c:f>
              <c:numCache>
                <c:formatCode>#,##0</c:formatCode>
                <c:ptCount val="11"/>
                <c:pt idx="0">
                  <c:v>1775</c:v>
                </c:pt>
                <c:pt idx="1">
                  <c:v>1893</c:v>
                </c:pt>
                <c:pt idx="2">
                  <c:v>1854</c:v>
                </c:pt>
                <c:pt idx="3">
                  <c:v>1832</c:v>
                </c:pt>
                <c:pt idx="4">
                  <c:v>1932</c:v>
                </c:pt>
                <c:pt idx="5">
                  <c:v>2146</c:v>
                </c:pt>
                <c:pt idx="6">
                  <c:v>2428</c:v>
                </c:pt>
                <c:pt idx="7">
                  <c:v>2574</c:v>
                </c:pt>
                <c:pt idx="8">
                  <c:v>1994</c:v>
                </c:pt>
                <c:pt idx="9">
                  <c:v>2666</c:v>
                </c:pt>
                <c:pt idx="10">
                  <c:v>3008</c:v>
                </c:pt>
              </c:numCache>
            </c:numRef>
          </c:val>
          <c:smooth val="0"/>
          <c:extLst>
            <c:ext xmlns:c16="http://schemas.microsoft.com/office/drawing/2014/chart" uri="{C3380CC4-5D6E-409C-BE32-E72D297353CC}">
              <c16:uniqueId val="{00000004-60EE-4FC0-9A75-9B2070C5A81B}"/>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12m'!$K$63</c:f>
          <c:strCache>
            <c:ptCount val="1"/>
            <c:pt idx="0">
              <c:v>Average annual operating profit per vessel (£'000)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1AD6-4675-A375-A40F9741AE8F}"/>
              </c:ext>
            </c:extLst>
          </c:dPt>
          <c:dPt>
            <c:idx val="10"/>
            <c:bubble3D val="0"/>
            <c:spPr>
              <a:ln w="57150">
                <a:solidFill>
                  <a:schemeClr val="accent5"/>
                </a:solidFill>
                <a:prstDash val="sysDot"/>
              </a:ln>
            </c:spPr>
            <c:extLst>
              <c:ext xmlns:c16="http://schemas.microsoft.com/office/drawing/2014/chart" uri="{C3380CC4-5D6E-409C-BE32-E72D297353CC}">
                <c16:uniqueId val="{00000003-1AD6-4675-A375-A40F9741AE8F}"/>
              </c:ext>
            </c:extLst>
          </c:dPt>
          <c:cat>
            <c:numRef>
              <c:f>'Pots and traps over 12m'!$D$2:$M$2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12m'!$D$38:$N$38</c:f>
              <c:numCache>
                <c:formatCode>#,##0.0</c:formatCode>
                <c:ptCount val="11"/>
                <c:pt idx="0">
                  <c:v>86</c:v>
                </c:pt>
                <c:pt idx="1">
                  <c:v>77.7</c:v>
                </c:pt>
                <c:pt idx="2">
                  <c:v>102.6</c:v>
                </c:pt>
                <c:pt idx="3">
                  <c:v>104.2</c:v>
                </c:pt>
                <c:pt idx="4">
                  <c:v>122.8</c:v>
                </c:pt>
                <c:pt idx="5">
                  <c:v>166.7</c:v>
                </c:pt>
                <c:pt idx="6">
                  <c:v>151.19999999999999</c:v>
                </c:pt>
                <c:pt idx="7">
                  <c:v>143.6</c:v>
                </c:pt>
                <c:pt idx="8">
                  <c:v>94.1</c:v>
                </c:pt>
                <c:pt idx="9">
                  <c:v>121.7</c:v>
                </c:pt>
                <c:pt idx="10">
                  <c:v>88.8</c:v>
                </c:pt>
              </c:numCache>
            </c:numRef>
          </c:val>
          <c:smooth val="0"/>
          <c:extLst>
            <c:ext xmlns:c16="http://schemas.microsoft.com/office/drawing/2014/chart" uri="{C3380CC4-5D6E-409C-BE32-E72D297353CC}">
              <c16:uniqueId val="{00000004-1AD6-4675-A375-A40F9741AE8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12m'!$A$77</c:f>
          <c:strCache>
            <c:ptCount val="1"/>
            <c:pt idx="0">
              <c:v>Top 5 landed species by volume in 2021
Pots and traps over 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E7E-4052-BE89-D89241BDDA8E}"/>
              </c:ext>
            </c:extLst>
          </c:dPt>
          <c:dPt>
            <c:idx val="1"/>
            <c:bubble3D val="0"/>
            <c:spPr>
              <a:solidFill>
                <a:srgbClr val="648C2E"/>
              </a:solidFill>
              <a:ln>
                <a:solidFill>
                  <a:srgbClr val="FFFFFF"/>
                </a:solidFill>
              </a:ln>
            </c:spPr>
            <c:extLst>
              <c:ext xmlns:c16="http://schemas.microsoft.com/office/drawing/2014/chart" uri="{C3380CC4-5D6E-409C-BE32-E72D297353CC}">
                <c16:uniqueId val="{00000003-2E7E-4052-BE89-D89241BDDA8E}"/>
              </c:ext>
            </c:extLst>
          </c:dPt>
          <c:dPt>
            <c:idx val="2"/>
            <c:bubble3D val="0"/>
            <c:spPr>
              <a:solidFill>
                <a:srgbClr val="E87308"/>
              </a:solidFill>
              <a:ln>
                <a:solidFill>
                  <a:srgbClr val="FFFFFF"/>
                </a:solidFill>
              </a:ln>
            </c:spPr>
            <c:extLst>
              <c:ext xmlns:c16="http://schemas.microsoft.com/office/drawing/2014/chart" uri="{C3380CC4-5D6E-409C-BE32-E72D297353CC}">
                <c16:uniqueId val="{00000005-2E7E-4052-BE89-D89241BDDA8E}"/>
              </c:ext>
            </c:extLst>
          </c:dPt>
          <c:dPt>
            <c:idx val="3"/>
            <c:bubble3D val="0"/>
            <c:spPr>
              <a:solidFill>
                <a:srgbClr val="C1D119"/>
              </a:solidFill>
              <a:ln>
                <a:solidFill>
                  <a:srgbClr val="FFFFFF"/>
                </a:solidFill>
              </a:ln>
            </c:spPr>
            <c:extLst>
              <c:ext xmlns:c16="http://schemas.microsoft.com/office/drawing/2014/chart" uri="{C3380CC4-5D6E-409C-BE32-E72D297353CC}">
                <c16:uniqueId val="{00000007-2E7E-4052-BE89-D89241BDDA8E}"/>
              </c:ext>
            </c:extLst>
          </c:dPt>
          <c:dPt>
            <c:idx val="4"/>
            <c:bubble3D val="0"/>
            <c:spPr>
              <a:solidFill>
                <a:srgbClr val="E84A38"/>
              </a:solidFill>
              <a:ln>
                <a:solidFill>
                  <a:srgbClr val="FFFFFF"/>
                </a:solidFill>
              </a:ln>
            </c:spPr>
            <c:extLst>
              <c:ext xmlns:c16="http://schemas.microsoft.com/office/drawing/2014/chart" uri="{C3380CC4-5D6E-409C-BE32-E72D297353CC}">
                <c16:uniqueId val="{00000009-2E7E-4052-BE89-D89241BDDA8E}"/>
              </c:ext>
            </c:extLst>
          </c:dPt>
          <c:dPt>
            <c:idx val="5"/>
            <c:bubble3D val="0"/>
            <c:spPr>
              <a:solidFill>
                <a:srgbClr val="55585A"/>
              </a:solidFill>
              <a:ln>
                <a:solidFill>
                  <a:srgbClr val="FFFFFF"/>
                </a:solidFill>
              </a:ln>
            </c:spPr>
            <c:extLst>
              <c:ext xmlns:c16="http://schemas.microsoft.com/office/drawing/2014/chart" uri="{C3380CC4-5D6E-409C-BE32-E72D297353CC}">
                <c16:uniqueId val="{0000000B-2E7E-4052-BE89-D89241BDDA8E}"/>
              </c:ext>
            </c:extLst>
          </c:dPt>
          <c:cat>
            <c:strRef>
              <c:f>'Pots and traps over 12m'!$B$78:$B$83</c:f>
              <c:strCache>
                <c:ptCount val="6"/>
                <c:pt idx="0">
                  <c:v>Brown Crab - 66.2%</c:v>
                </c:pt>
                <c:pt idx="1">
                  <c:v>Whelks - 30.0%</c:v>
                </c:pt>
                <c:pt idx="2">
                  <c:v>Lobsters - 2.7%</c:v>
                </c:pt>
                <c:pt idx="3">
                  <c:v>Nephrops - 0.6%</c:v>
                </c:pt>
                <c:pt idx="4">
                  <c:v>Scallops - 0.2%</c:v>
                </c:pt>
                <c:pt idx="5">
                  <c:v>Others - 0.3%</c:v>
                </c:pt>
              </c:strCache>
            </c:strRef>
          </c:cat>
          <c:val>
            <c:numRef>
              <c:f>'Pots and traps over 12m'!$C$78:$C$83</c:f>
              <c:numCache>
                <c:formatCode>0.0%</c:formatCode>
                <c:ptCount val="6"/>
                <c:pt idx="0">
                  <c:v>0.6622101081870535</c:v>
                </c:pt>
                <c:pt idx="1">
                  <c:v>0.30021487727725787</c:v>
                </c:pt>
                <c:pt idx="2">
                  <c:v>2.6543924817611718E-2</c:v>
                </c:pt>
                <c:pt idx="3">
                  <c:v>5.9105243468457556E-3</c:v>
                </c:pt>
                <c:pt idx="4">
                  <c:v>2.2783676224350565E-3</c:v>
                </c:pt>
                <c:pt idx="5">
                  <c:v>2.8421977487960159E-3</c:v>
                </c:pt>
              </c:numCache>
            </c:numRef>
          </c:val>
          <c:extLst>
            <c:ext xmlns:c16="http://schemas.microsoft.com/office/drawing/2014/chart" uri="{C3380CC4-5D6E-409C-BE32-E72D297353CC}">
              <c16:uniqueId val="{0000000C-2E7E-4052-BE89-D89241BDDA8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12m'!$F$77</c:f>
          <c:strCache>
            <c:ptCount val="1"/>
            <c:pt idx="0">
              <c:v>Top 5 landed species by value in 2021
Pots and traps over 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175-4319-A512-ECFCCA48D849}"/>
              </c:ext>
            </c:extLst>
          </c:dPt>
          <c:dPt>
            <c:idx val="1"/>
            <c:bubble3D val="0"/>
            <c:spPr>
              <a:solidFill>
                <a:srgbClr val="E87308"/>
              </a:solidFill>
              <a:ln>
                <a:solidFill>
                  <a:srgbClr val="FFFFFF"/>
                </a:solidFill>
              </a:ln>
            </c:spPr>
            <c:extLst>
              <c:ext xmlns:c16="http://schemas.microsoft.com/office/drawing/2014/chart" uri="{C3380CC4-5D6E-409C-BE32-E72D297353CC}">
                <c16:uniqueId val="{00000003-B175-4319-A512-ECFCCA48D849}"/>
              </c:ext>
            </c:extLst>
          </c:dPt>
          <c:dPt>
            <c:idx val="2"/>
            <c:bubble3D val="0"/>
            <c:spPr>
              <a:solidFill>
                <a:srgbClr val="648C2E"/>
              </a:solidFill>
              <a:ln>
                <a:solidFill>
                  <a:srgbClr val="FFFFFF"/>
                </a:solidFill>
              </a:ln>
            </c:spPr>
            <c:extLst>
              <c:ext xmlns:c16="http://schemas.microsoft.com/office/drawing/2014/chart" uri="{C3380CC4-5D6E-409C-BE32-E72D297353CC}">
                <c16:uniqueId val="{00000005-B175-4319-A512-ECFCCA48D849}"/>
              </c:ext>
            </c:extLst>
          </c:dPt>
          <c:dPt>
            <c:idx val="3"/>
            <c:bubble3D val="0"/>
            <c:spPr>
              <a:solidFill>
                <a:srgbClr val="C1D119"/>
              </a:solidFill>
              <a:ln>
                <a:solidFill>
                  <a:srgbClr val="FFFFFF"/>
                </a:solidFill>
              </a:ln>
            </c:spPr>
            <c:extLst>
              <c:ext xmlns:c16="http://schemas.microsoft.com/office/drawing/2014/chart" uri="{C3380CC4-5D6E-409C-BE32-E72D297353CC}">
                <c16:uniqueId val="{00000007-B175-4319-A512-ECFCCA48D849}"/>
              </c:ext>
            </c:extLst>
          </c:dPt>
          <c:dPt>
            <c:idx val="4"/>
            <c:bubble3D val="0"/>
            <c:spPr>
              <a:solidFill>
                <a:srgbClr val="E84A38"/>
              </a:solidFill>
              <a:ln>
                <a:solidFill>
                  <a:srgbClr val="FFFFFF"/>
                </a:solidFill>
              </a:ln>
            </c:spPr>
            <c:extLst>
              <c:ext xmlns:c16="http://schemas.microsoft.com/office/drawing/2014/chart" uri="{C3380CC4-5D6E-409C-BE32-E72D297353CC}">
                <c16:uniqueId val="{00000009-B175-4319-A512-ECFCCA48D849}"/>
              </c:ext>
            </c:extLst>
          </c:dPt>
          <c:dPt>
            <c:idx val="5"/>
            <c:bubble3D val="0"/>
            <c:spPr>
              <a:solidFill>
                <a:srgbClr val="55585A"/>
              </a:solidFill>
              <a:ln>
                <a:solidFill>
                  <a:srgbClr val="FFFFFF"/>
                </a:solidFill>
              </a:ln>
            </c:spPr>
            <c:extLst>
              <c:ext xmlns:c16="http://schemas.microsoft.com/office/drawing/2014/chart" uri="{C3380CC4-5D6E-409C-BE32-E72D297353CC}">
                <c16:uniqueId val="{0000000B-B175-4319-A512-ECFCCA48D849}"/>
              </c:ext>
            </c:extLst>
          </c:dPt>
          <c:cat>
            <c:strRef>
              <c:f>'Pots and traps over 12m'!$G$78:$G$83</c:f>
              <c:strCache>
                <c:ptCount val="6"/>
                <c:pt idx="0">
                  <c:v>Brown Crab - 65.5%</c:v>
                </c:pt>
                <c:pt idx="1">
                  <c:v>Lobsters - 18.3%</c:v>
                </c:pt>
                <c:pt idx="2">
                  <c:v>Whelks - 14.2%</c:v>
                </c:pt>
                <c:pt idx="3">
                  <c:v>Nephrops - 1.6%</c:v>
                </c:pt>
                <c:pt idx="4">
                  <c:v>Scallops - 0.2%</c:v>
                </c:pt>
                <c:pt idx="5">
                  <c:v>Others - 0.2%</c:v>
                </c:pt>
              </c:strCache>
            </c:strRef>
          </c:cat>
          <c:val>
            <c:numRef>
              <c:f>'Pots and traps over 12m'!$H$78:$H$83</c:f>
              <c:numCache>
                <c:formatCode>0.0%</c:formatCode>
                <c:ptCount val="6"/>
                <c:pt idx="0">
                  <c:v>0.65530447694818394</c:v>
                </c:pt>
                <c:pt idx="1">
                  <c:v>0.18302332164304333</c:v>
                </c:pt>
                <c:pt idx="2">
                  <c:v>0.14202953126112272</c:v>
                </c:pt>
                <c:pt idx="3">
                  <c:v>1.5811754757983892E-2</c:v>
                </c:pt>
                <c:pt idx="4">
                  <c:v>1.8848617501770379E-3</c:v>
                </c:pt>
                <c:pt idx="5">
                  <c:v>1.9460536394890759E-3</c:v>
                </c:pt>
              </c:numCache>
            </c:numRef>
          </c:val>
          <c:extLst>
            <c:ext xmlns:c16="http://schemas.microsoft.com/office/drawing/2014/chart" uri="{C3380CC4-5D6E-409C-BE32-E72D297353CC}">
              <c16:uniqueId val="{0000000C-B175-4319-A512-ECFCCA48D84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over 12m'!$C$93</c:f>
              <c:strCache>
                <c:ptCount val="1"/>
                <c:pt idx="0">
                  <c:v>Brown Crab</c:v>
                </c:pt>
              </c:strCache>
            </c:strRef>
          </c:tx>
          <c:spPr>
            <a:solidFill>
              <a:srgbClr val="2273B9"/>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12m'!$D$93:$M$93</c:f>
              <c:numCache>
                <c:formatCode>0%</c:formatCode>
                <c:ptCount val="10"/>
                <c:pt idx="0">
                  <c:v>0.67977824862740532</c:v>
                </c:pt>
                <c:pt idx="1">
                  <c:v>0.69243140028507311</c:v>
                </c:pt>
                <c:pt idx="2">
                  <c:v>0.65413165043225752</c:v>
                </c:pt>
                <c:pt idx="3">
                  <c:v>0.66138816847984438</c:v>
                </c:pt>
                <c:pt idx="4">
                  <c:v>0.66298916460364299</c:v>
                </c:pt>
                <c:pt idx="5">
                  <c:v>0.73255654206887422</c:v>
                </c:pt>
                <c:pt idx="6">
                  <c:v>0.70205349729842748</c:v>
                </c:pt>
                <c:pt idx="7">
                  <c:v>0.59222495625458405</c:v>
                </c:pt>
                <c:pt idx="8">
                  <c:v>0.65530447694818394</c:v>
                </c:pt>
                <c:pt idx="9">
                  <c:v>0.71663573911572687</c:v>
                </c:pt>
              </c:numCache>
            </c:numRef>
          </c:val>
          <c:extLst>
            <c:ext xmlns:c16="http://schemas.microsoft.com/office/drawing/2014/chart" uri="{C3380CC4-5D6E-409C-BE32-E72D297353CC}">
              <c16:uniqueId val="{00000000-7C0B-47CD-8528-F7359A2797C1}"/>
            </c:ext>
          </c:extLst>
        </c:ser>
        <c:ser>
          <c:idx val="1"/>
          <c:order val="1"/>
          <c:tx>
            <c:strRef>
              <c:f>'Pots and traps over 12m'!$C$94</c:f>
              <c:strCache>
                <c:ptCount val="1"/>
                <c:pt idx="0">
                  <c:v>Lobsters</c:v>
                </c:pt>
              </c:strCache>
            </c:strRef>
          </c:tx>
          <c:spPr>
            <a:solidFill>
              <a:srgbClr val="E87308"/>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12m'!$D$94:$M$94</c:f>
              <c:numCache>
                <c:formatCode>0%</c:formatCode>
                <c:ptCount val="10"/>
                <c:pt idx="0">
                  <c:v>0.15729277865887065</c:v>
                </c:pt>
                <c:pt idx="1">
                  <c:v>0.15077805982380796</c:v>
                </c:pt>
                <c:pt idx="2">
                  <c:v>0.16861370937041739</c:v>
                </c:pt>
                <c:pt idx="3">
                  <c:v>0.16005160045762409</c:v>
                </c:pt>
                <c:pt idx="4">
                  <c:v>0.15215590156614983</c:v>
                </c:pt>
                <c:pt idx="5">
                  <c:v>0.10586523923883197</c:v>
                </c:pt>
                <c:pt idx="6">
                  <c:v>0.11316095070897172</c:v>
                </c:pt>
                <c:pt idx="7">
                  <c:v>0.14952040365957955</c:v>
                </c:pt>
                <c:pt idx="8">
                  <c:v>0.18302332164304333</c:v>
                </c:pt>
                <c:pt idx="9">
                  <c:v>0.18480611913127715</c:v>
                </c:pt>
              </c:numCache>
            </c:numRef>
          </c:val>
          <c:extLst>
            <c:ext xmlns:c16="http://schemas.microsoft.com/office/drawing/2014/chart" uri="{C3380CC4-5D6E-409C-BE32-E72D297353CC}">
              <c16:uniqueId val="{00000001-7C0B-47CD-8528-F7359A2797C1}"/>
            </c:ext>
          </c:extLst>
        </c:ser>
        <c:ser>
          <c:idx val="2"/>
          <c:order val="2"/>
          <c:tx>
            <c:strRef>
              <c:f>'Pots and traps over 12m'!$C$95</c:f>
              <c:strCache>
                <c:ptCount val="1"/>
                <c:pt idx="0">
                  <c:v>Whelks</c:v>
                </c:pt>
              </c:strCache>
            </c:strRef>
          </c:tx>
          <c:spPr>
            <a:solidFill>
              <a:srgbClr val="648C2E"/>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12m'!$D$95:$M$95</c:f>
              <c:numCache>
                <c:formatCode>0%</c:formatCode>
                <c:ptCount val="10"/>
                <c:pt idx="0">
                  <c:v>0.1061580473915284</c:v>
                </c:pt>
                <c:pt idx="1">
                  <c:v>0.12423942581482358</c:v>
                </c:pt>
                <c:pt idx="2">
                  <c:v>0.14778877413796834</c:v>
                </c:pt>
                <c:pt idx="3">
                  <c:v>0.15296386588512043</c:v>
                </c:pt>
                <c:pt idx="4">
                  <c:v>0.1627612660824512</c:v>
                </c:pt>
                <c:pt idx="5">
                  <c:v>0.14696891698413386</c:v>
                </c:pt>
                <c:pt idx="6">
                  <c:v>0.17037452459899621</c:v>
                </c:pt>
                <c:pt idx="7">
                  <c:v>0.23401096289494147</c:v>
                </c:pt>
                <c:pt idx="8">
                  <c:v>0.14202953126112272</c:v>
                </c:pt>
                <c:pt idx="9">
                  <c:v>7.5365417352573419E-2</c:v>
                </c:pt>
              </c:numCache>
            </c:numRef>
          </c:val>
          <c:extLst>
            <c:ext xmlns:c16="http://schemas.microsoft.com/office/drawing/2014/chart" uri="{C3380CC4-5D6E-409C-BE32-E72D297353CC}">
              <c16:uniqueId val="{00000002-7C0B-47CD-8528-F7359A2797C1}"/>
            </c:ext>
          </c:extLst>
        </c:ser>
        <c:ser>
          <c:idx val="3"/>
          <c:order val="3"/>
          <c:tx>
            <c:strRef>
              <c:f>'Pots and traps over 12m'!$C$96</c:f>
              <c:strCache>
                <c:ptCount val="1"/>
                <c:pt idx="0">
                  <c:v>Nephrops</c:v>
                </c:pt>
              </c:strCache>
            </c:strRef>
          </c:tx>
          <c:spPr>
            <a:solidFill>
              <a:srgbClr val="C1D119"/>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12m'!$D$96:$M$96</c:f>
              <c:numCache>
                <c:formatCode>0%</c:formatCode>
                <c:ptCount val="10"/>
                <c:pt idx="0">
                  <c:v>4.2932208388097436E-2</c:v>
                </c:pt>
                <c:pt idx="1">
                  <c:v>2.5251044650217627E-2</c:v>
                </c:pt>
                <c:pt idx="2">
                  <c:v>2.0866568835280486E-2</c:v>
                </c:pt>
                <c:pt idx="3">
                  <c:v>1.9446893523176457E-2</c:v>
                </c:pt>
                <c:pt idx="4">
                  <c:v>1.5136960111281055E-2</c:v>
                </c:pt>
                <c:pt idx="5">
                  <c:v>8.8699309508836963E-3</c:v>
                </c:pt>
                <c:pt idx="6">
                  <c:v>1.0096175689268062E-2</c:v>
                </c:pt>
                <c:pt idx="7">
                  <c:v>1.6667101437540563E-2</c:v>
                </c:pt>
                <c:pt idx="8">
                  <c:v>1.5811754757983892E-2</c:v>
                </c:pt>
                <c:pt idx="9">
                  <c:v>1.7766405362845503E-2</c:v>
                </c:pt>
              </c:numCache>
            </c:numRef>
          </c:val>
          <c:extLst>
            <c:ext xmlns:c16="http://schemas.microsoft.com/office/drawing/2014/chart" uri="{C3380CC4-5D6E-409C-BE32-E72D297353CC}">
              <c16:uniqueId val="{00000003-7C0B-47CD-8528-F7359A2797C1}"/>
            </c:ext>
          </c:extLst>
        </c:ser>
        <c:ser>
          <c:idx val="4"/>
          <c:order val="4"/>
          <c:tx>
            <c:strRef>
              <c:f>'Pots and traps over 12m'!$C$97</c:f>
              <c:strCache>
                <c:ptCount val="1"/>
                <c:pt idx="0">
                  <c:v>Scallops</c:v>
                </c:pt>
              </c:strCache>
            </c:strRef>
          </c:tx>
          <c:spPr>
            <a:solidFill>
              <a:srgbClr val="E84A38"/>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12m'!$D$97:$M$97</c:f>
              <c:numCache>
                <c:formatCode>0%</c:formatCode>
                <c:ptCount val="10"/>
                <c:pt idx="2">
                  <c:v>3.9537384111871026E-3</c:v>
                </c:pt>
                <c:pt idx="3">
                  <c:v>2.0709669209575659E-3</c:v>
                </c:pt>
                <c:pt idx="4">
                  <c:v>3.2556101247076352E-3</c:v>
                </c:pt>
                <c:pt idx="5">
                  <c:v>3.1649023692059859E-3</c:v>
                </c:pt>
                <c:pt idx="6">
                  <c:v>2.3167284492398095E-3</c:v>
                </c:pt>
                <c:pt idx="8">
                  <c:v>1.8848617501770379E-3</c:v>
                </c:pt>
                <c:pt idx="9">
                  <c:v>2.020486965283369E-3</c:v>
                </c:pt>
              </c:numCache>
            </c:numRef>
          </c:val>
          <c:extLst>
            <c:ext xmlns:c16="http://schemas.microsoft.com/office/drawing/2014/chart" uri="{C3380CC4-5D6E-409C-BE32-E72D297353CC}">
              <c16:uniqueId val="{00000004-7C0B-47CD-8528-F7359A2797C1}"/>
            </c:ext>
          </c:extLst>
        </c:ser>
        <c:ser>
          <c:idx val="5"/>
          <c:order val="5"/>
          <c:tx>
            <c:strRef>
              <c:f>'Pots and traps over 12m'!$C$98</c:f>
              <c:strCache>
                <c:ptCount val="1"/>
                <c:pt idx="0">
                  <c:v>Brown Shrimps</c:v>
                </c:pt>
              </c:strCache>
            </c:strRef>
          </c:tx>
          <c:spPr>
            <a:solidFill>
              <a:srgbClr val="0F9AA9"/>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12m'!$D$98:$M$98</c:f>
              <c:numCache>
                <c:formatCode>0%</c:formatCode>
                <c:ptCount val="10"/>
                <c:pt idx="7">
                  <c:v>3.9334165135060661E-3</c:v>
                </c:pt>
              </c:numCache>
            </c:numRef>
          </c:val>
          <c:extLst>
            <c:ext xmlns:c16="http://schemas.microsoft.com/office/drawing/2014/chart" uri="{C3380CC4-5D6E-409C-BE32-E72D297353CC}">
              <c16:uniqueId val="{00000005-7C0B-47CD-8528-F7359A2797C1}"/>
            </c:ext>
          </c:extLst>
        </c:ser>
        <c:ser>
          <c:idx val="6"/>
          <c:order val="6"/>
          <c:tx>
            <c:strRef>
              <c:f>'Pots and traps over 12m'!$C$99</c:f>
              <c:strCache>
                <c:ptCount val="1"/>
                <c:pt idx="0">
                  <c:v>Velvet Crab</c:v>
                </c:pt>
              </c:strCache>
            </c:strRef>
          </c:tx>
          <c:spPr>
            <a:solidFill>
              <a:srgbClr val="FED825"/>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12m'!$D$99:$M$99</c:f>
              <c:numCache>
                <c:formatCode>0%</c:formatCode>
                <c:ptCount val="10"/>
                <c:pt idx="1">
                  <c:v>3.1131278096198133E-3</c:v>
                </c:pt>
              </c:numCache>
            </c:numRef>
          </c:val>
          <c:extLst>
            <c:ext xmlns:c16="http://schemas.microsoft.com/office/drawing/2014/chart" uri="{C3380CC4-5D6E-409C-BE32-E72D297353CC}">
              <c16:uniqueId val="{00000006-7C0B-47CD-8528-F7359A2797C1}"/>
            </c:ext>
          </c:extLst>
        </c:ser>
        <c:ser>
          <c:idx val="7"/>
          <c:order val="7"/>
          <c:tx>
            <c:strRef>
              <c:f>'Pots and traps over 12m'!$C$100</c:f>
              <c:strCache>
                <c:ptCount val="1"/>
                <c:pt idx="0">
                  <c:v>Pollack</c:v>
                </c:pt>
              </c:strCache>
            </c:strRef>
          </c:tx>
          <c:spPr>
            <a:solidFill>
              <a:srgbClr val="707271"/>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12m'!$D$100:$M$100</c:f>
              <c:numCache>
                <c:formatCode>0%</c:formatCode>
                <c:ptCount val="10"/>
                <c:pt idx="0">
                  <c:v>5.2680328548295654E-3</c:v>
                </c:pt>
              </c:numCache>
            </c:numRef>
          </c:val>
          <c:extLst>
            <c:ext xmlns:c16="http://schemas.microsoft.com/office/drawing/2014/chart" uri="{C3380CC4-5D6E-409C-BE32-E72D297353CC}">
              <c16:uniqueId val="{00000007-7C0B-47CD-8528-F7359A2797C1}"/>
            </c:ext>
          </c:extLst>
        </c:ser>
        <c:ser>
          <c:idx val="8"/>
          <c:order val="8"/>
          <c:tx>
            <c:strRef>
              <c:f>'Pots and traps over 12m'!$C$101</c:f>
              <c:strCache>
                <c:ptCount val="1"/>
                <c:pt idx="0">
                  <c:v>Others</c:v>
                </c:pt>
              </c:strCache>
            </c:strRef>
          </c:tx>
          <c:spPr>
            <a:solidFill>
              <a:srgbClr val="55585A"/>
            </a:solidFill>
            <a:ln>
              <a:solidFill>
                <a:srgbClr val="FFFFFF"/>
              </a:solidFill>
            </a:ln>
          </c:spPr>
          <c:invertIfNegative val="0"/>
          <c:cat>
            <c:numRef>
              <c:f>'Pots and traps over 12m'!$D$92:$M$92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'Pots and traps over 12m'!$D$101:$M$101</c:f>
              <c:numCache>
                <c:formatCode>0%</c:formatCode>
                <c:ptCount val="10"/>
                <c:pt idx="0">
                  <c:v>8.5706840792686215E-3</c:v>
                </c:pt>
                <c:pt idx="1">
                  <c:v>4.1869416164579442E-3</c:v>
                </c:pt>
                <c:pt idx="2">
                  <c:v>4.6455588128891988E-3</c:v>
                </c:pt>
                <c:pt idx="3">
                  <c:v>4.0785047332770972E-3</c:v>
                </c:pt>
                <c:pt idx="4">
                  <c:v>3.701097511767257E-3</c:v>
                </c:pt>
                <c:pt idx="5">
                  <c:v>2.5744683880702711E-3</c:v>
                </c:pt>
                <c:pt idx="6">
                  <c:v>1.9981232550967038E-3</c:v>
                </c:pt>
                <c:pt idx="7">
                  <c:v>3.6431592398482883E-3</c:v>
                </c:pt>
                <c:pt idx="8">
                  <c:v>1.9460536394890885E-3</c:v>
                </c:pt>
                <c:pt idx="9">
                  <c:v>3.4058320722937354E-3</c:v>
                </c:pt>
              </c:numCache>
            </c:numRef>
          </c:val>
          <c:extLst>
            <c:ext xmlns:c16="http://schemas.microsoft.com/office/drawing/2014/chart" uri="{C3380CC4-5D6E-409C-BE32-E72D297353CC}">
              <c16:uniqueId val="{00000008-7C0B-47CD-8528-F7359A2797C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over 12m'!$B$163</c:f>
              <c:strCache>
                <c:ptCount val="1"/>
                <c:pt idx="0">
                  <c:v>Brown Crab</c:v>
                </c:pt>
              </c:strCache>
            </c:strRef>
          </c:tx>
          <c:spPr>
            <a:solidFill>
              <a:srgbClr val="2273B9"/>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12m'!$C$163:$E$163</c:f>
              <c:numCache>
                <c:formatCode>0%</c:formatCode>
                <c:ptCount val="3"/>
                <c:pt idx="0">
                  <c:v>0.83894014663889671</c:v>
                </c:pt>
                <c:pt idx="1">
                  <c:v>0.53564890508320617</c:v>
                </c:pt>
                <c:pt idx="2">
                  <c:v>0.64762058488766561</c:v>
                </c:pt>
              </c:numCache>
            </c:numRef>
          </c:val>
          <c:extLst>
            <c:ext xmlns:c16="http://schemas.microsoft.com/office/drawing/2014/chart" uri="{C3380CC4-5D6E-409C-BE32-E72D297353CC}">
              <c16:uniqueId val="{00000000-DC95-4AFF-8090-9D39D3B2BD97}"/>
            </c:ext>
          </c:extLst>
        </c:ser>
        <c:ser>
          <c:idx val="1"/>
          <c:order val="1"/>
          <c:tx>
            <c:strRef>
              <c:f>'Pots and traps over 12m'!$B$164</c:f>
              <c:strCache>
                <c:ptCount val="1"/>
                <c:pt idx="0">
                  <c:v>Whelks</c:v>
                </c:pt>
              </c:strCache>
            </c:strRef>
          </c:tx>
          <c:spPr>
            <a:solidFill>
              <a:srgbClr val="648C2E"/>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12m'!$C$164:$E$164</c:f>
              <c:numCache>
                <c:formatCode>0%</c:formatCode>
                <c:ptCount val="3"/>
                <c:pt idx="0">
                  <c:v>0.11905974870093802</c:v>
                </c:pt>
                <c:pt idx="1">
                  <c:v>0.432639581523661</c:v>
                </c:pt>
                <c:pt idx="2">
                  <c:v>0.29901971454766485</c:v>
                </c:pt>
              </c:numCache>
            </c:numRef>
          </c:val>
          <c:extLst>
            <c:ext xmlns:c16="http://schemas.microsoft.com/office/drawing/2014/chart" uri="{C3380CC4-5D6E-409C-BE32-E72D297353CC}">
              <c16:uniqueId val="{00000001-DC95-4AFF-8090-9D39D3B2BD97}"/>
            </c:ext>
          </c:extLst>
        </c:ser>
        <c:ser>
          <c:idx val="2"/>
          <c:order val="2"/>
          <c:tx>
            <c:strRef>
              <c:f>'Pots and traps over 12m'!$B$165</c:f>
              <c:strCache>
                <c:ptCount val="1"/>
                <c:pt idx="0">
                  <c:v>Lobsters</c:v>
                </c:pt>
              </c:strCache>
            </c:strRef>
          </c:tx>
          <c:spPr>
            <a:solidFill>
              <a:srgbClr val="E87308"/>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12m'!$C$165:$E$165</c:f>
              <c:numCache>
                <c:formatCode>0%</c:formatCode>
                <c:ptCount val="3"/>
                <c:pt idx="0">
                  <c:v>3.5515238986597315E-2</c:v>
                </c:pt>
                <c:pt idx="1">
                  <c:v>1.63645461747172E-2</c:v>
                </c:pt>
                <c:pt idx="2">
                  <c:v>4.831396221147774E-2</c:v>
                </c:pt>
              </c:numCache>
            </c:numRef>
          </c:val>
          <c:extLst>
            <c:ext xmlns:c16="http://schemas.microsoft.com/office/drawing/2014/chart" uri="{C3380CC4-5D6E-409C-BE32-E72D297353CC}">
              <c16:uniqueId val="{00000002-DC95-4AFF-8090-9D39D3B2BD97}"/>
            </c:ext>
          </c:extLst>
        </c:ser>
        <c:ser>
          <c:idx val="3"/>
          <c:order val="3"/>
          <c:tx>
            <c:strRef>
              <c:f>'Pots and traps over 12m'!$B$166</c:f>
              <c:strCache>
                <c:ptCount val="1"/>
                <c:pt idx="0">
                  <c:v>Nephrops</c:v>
                </c:pt>
              </c:strCache>
            </c:strRef>
          </c:tx>
          <c:spPr>
            <a:solidFill>
              <a:srgbClr val="C1D119"/>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12m'!$C$166:$E$166</c:f>
              <c:numCache>
                <c:formatCode>0%</c:formatCode>
                <c:ptCount val="3"/>
                <c:pt idx="0">
                  <c:v>0</c:v>
                </c:pt>
                <c:pt idx="1">
                  <c:v>1.1167911782741416E-2</c:v>
                </c:pt>
                <c:pt idx="2">
                  <c:v>0</c:v>
                </c:pt>
              </c:numCache>
            </c:numRef>
          </c:val>
          <c:extLst>
            <c:ext xmlns:c16="http://schemas.microsoft.com/office/drawing/2014/chart" uri="{C3380CC4-5D6E-409C-BE32-E72D297353CC}">
              <c16:uniqueId val="{00000003-DC95-4AFF-8090-9D39D3B2BD97}"/>
            </c:ext>
          </c:extLst>
        </c:ser>
        <c:ser>
          <c:idx val="4"/>
          <c:order val="4"/>
          <c:tx>
            <c:strRef>
              <c:f>'Pots and traps over 12m'!$B$167</c:f>
              <c:strCache>
                <c:ptCount val="1"/>
                <c:pt idx="0">
                  <c:v>Spider Crabs</c:v>
                </c:pt>
              </c:strCache>
            </c:strRef>
          </c:tx>
          <c:spPr>
            <a:solidFill>
              <a:srgbClr val="0F9AA9"/>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12m'!$C$167:$E$167</c:f>
              <c:numCache>
                <c:formatCode>0%</c:formatCode>
                <c:ptCount val="3"/>
                <c:pt idx="0">
                  <c:v>0</c:v>
                </c:pt>
                <c:pt idx="1">
                  <c:v>3.5059688241986867E-3</c:v>
                </c:pt>
                <c:pt idx="2">
                  <c:v>8.8631672543260272E-4</c:v>
                </c:pt>
              </c:numCache>
            </c:numRef>
          </c:val>
          <c:extLst>
            <c:ext xmlns:c16="http://schemas.microsoft.com/office/drawing/2014/chart" uri="{C3380CC4-5D6E-409C-BE32-E72D297353CC}">
              <c16:uniqueId val="{00000004-DC95-4AFF-8090-9D39D3B2BD97}"/>
            </c:ext>
          </c:extLst>
        </c:ser>
        <c:ser>
          <c:idx val="5"/>
          <c:order val="5"/>
          <c:tx>
            <c:strRef>
              <c:f>'Pots and traps over 12m'!$B$168</c:f>
              <c:strCache>
                <c:ptCount val="1"/>
                <c:pt idx="0">
                  <c:v>Velvet Crab</c:v>
                </c:pt>
              </c:strCache>
            </c:strRef>
          </c:tx>
          <c:spPr>
            <a:solidFill>
              <a:srgbClr val="FED825"/>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12m'!$C$168:$E$168</c:f>
              <c:numCache>
                <c:formatCode>0%</c:formatCode>
                <c:ptCount val="3"/>
                <c:pt idx="0">
                  <c:v>2.8180136817310228E-4</c:v>
                </c:pt>
                <c:pt idx="1">
                  <c:v>0</c:v>
                </c:pt>
                <c:pt idx="2">
                  <c:v>3.7222281375037585E-3</c:v>
                </c:pt>
              </c:numCache>
            </c:numRef>
          </c:val>
          <c:extLst>
            <c:ext xmlns:c16="http://schemas.microsoft.com/office/drawing/2014/chart" uri="{C3380CC4-5D6E-409C-BE32-E72D297353CC}">
              <c16:uniqueId val="{00000005-DC95-4AFF-8090-9D39D3B2BD97}"/>
            </c:ext>
          </c:extLst>
        </c:ser>
        <c:ser>
          <c:idx val="6"/>
          <c:order val="6"/>
          <c:tx>
            <c:strRef>
              <c:f>'Pots and traps over 12m'!$B$169</c:f>
              <c:strCache>
                <c:ptCount val="1"/>
                <c:pt idx="0">
                  <c:v>Scallops</c:v>
                </c:pt>
              </c:strCache>
            </c:strRef>
          </c:tx>
          <c:spPr>
            <a:solidFill>
              <a:srgbClr val="E84A38"/>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12m'!$C$169:$E$169</c:f>
              <c:numCache>
                <c:formatCode>0%</c:formatCode>
                <c:ptCount val="3"/>
                <c:pt idx="0">
                  <c:v>5.9205111489775064E-3</c:v>
                </c:pt>
                <c:pt idx="1">
                  <c:v>0</c:v>
                </c:pt>
                <c:pt idx="2">
                  <c:v>0</c:v>
                </c:pt>
              </c:numCache>
            </c:numRef>
          </c:val>
          <c:extLst>
            <c:ext xmlns:c16="http://schemas.microsoft.com/office/drawing/2014/chart" uri="{C3380CC4-5D6E-409C-BE32-E72D297353CC}">
              <c16:uniqueId val="{00000006-DC95-4AFF-8090-9D39D3B2BD97}"/>
            </c:ext>
          </c:extLst>
        </c:ser>
        <c:ser>
          <c:idx val="7"/>
          <c:order val="7"/>
          <c:tx>
            <c:strRef>
              <c:f>'Pots and traps over 12m'!$B$170</c:f>
              <c:strCache>
                <c:ptCount val="1"/>
                <c:pt idx="0">
                  <c:v>Others</c:v>
                </c:pt>
              </c:strCache>
            </c:strRef>
          </c:tx>
          <c:spPr>
            <a:solidFill>
              <a:srgbClr val="55585A"/>
            </a:solidFill>
            <a:ln>
              <a:solidFill>
                <a:srgbClr val="FFFFFF"/>
              </a:solidFill>
            </a:ln>
          </c:spPr>
          <c:invertIfNegative val="0"/>
          <c:cat>
            <c:strRef>
              <c:f>'Pots and traps over 12m'!$C$162:$E$162</c:f>
              <c:strCache>
                <c:ptCount val="3"/>
                <c:pt idx="0">
                  <c:v>Most
profitable
quartile</c:v>
                </c:pt>
                <c:pt idx="1">
                  <c:v>Middle 
two quartiles</c:v>
                </c:pt>
                <c:pt idx="2">
                  <c:v>Least
profitable
quartile</c:v>
                </c:pt>
              </c:strCache>
            </c:strRef>
          </c:cat>
          <c:val>
            <c:numRef>
              <c:f>'Pots and traps over 12m'!$C$170:$E$170</c:f>
              <c:numCache>
                <c:formatCode>0%</c:formatCode>
                <c:ptCount val="3"/>
                <c:pt idx="0">
                  <c:v>2.8255315641723122E-4</c:v>
                </c:pt>
                <c:pt idx="1">
                  <c:v>6.7308661147547078E-4</c:v>
                </c:pt>
                <c:pt idx="2">
                  <c:v>4.3719349025539422E-4</c:v>
                </c:pt>
              </c:numCache>
            </c:numRef>
          </c:val>
          <c:extLst>
            <c:ext xmlns:c16="http://schemas.microsoft.com/office/drawing/2014/chart" uri="{C3380CC4-5D6E-409C-BE32-E72D297353CC}">
              <c16:uniqueId val="{00000007-DC95-4AFF-8090-9D39D3B2BD9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over 12m'!$H$163</c:f>
              <c:strCache>
                <c:ptCount val="1"/>
                <c:pt idx="0">
                  <c:v>Brown Crab</c:v>
                </c:pt>
              </c:strCache>
            </c:strRef>
          </c:tx>
          <c:spPr>
            <a:solidFill>
              <a:srgbClr val="2273B9"/>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12m'!$I$163:$K$163</c:f>
              <c:numCache>
                <c:formatCode>0%</c:formatCode>
                <c:ptCount val="3"/>
                <c:pt idx="0">
                  <c:v>0.72838532825560309</c:v>
                </c:pt>
                <c:pt idx="1">
                  <c:v>0.60253023221810942</c:v>
                </c:pt>
                <c:pt idx="2">
                  <c:v>0.5630024514461246</c:v>
                </c:pt>
              </c:numCache>
            </c:numRef>
          </c:val>
          <c:extLst>
            <c:ext xmlns:c16="http://schemas.microsoft.com/office/drawing/2014/chart" uri="{C3380CC4-5D6E-409C-BE32-E72D297353CC}">
              <c16:uniqueId val="{00000000-1082-4539-9B3D-938DCB01A38D}"/>
            </c:ext>
          </c:extLst>
        </c:ser>
        <c:ser>
          <c:idx val="1"/>
          <c:order val="1"/>
          <c:tx>
            <c:strRef>
              <c:f>'Pots and traps over 12m'!$H$164</c:f>
              <c:strCache>
                <c:ptCount val="1"/>
                <c:pt idx="0">
                  <c:v>Whelks</c:v>
                </c:pt>
              </c:strCache>
            </c:strRef>
          </c:tx>
          <c:spPr>
            <a:solidFill>
              <a:srgbClr val="648C2E"/>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12m'!$I$164:$K$164</c:f>
              <c:numCache>
                <c:formatCode>0%</c:formatCode>
                <c:ptCount val="3"/>
                <c:pt idx="0">
                  <c:v>4.6252697317955789E-2</c:v>
                </c:pt>
                <c:pt idx="1">
                  <c:v>0.23618359621346258</c:v>
                </c:pt>
                <c:pt idx="2">
                  <c:v>0.13829666334507126</c:v>
                </c:pt>
              </c:numCache>
            </c:numRef>
          </c:val>
          <c:extLst>
            <c:ext xmlns:c16="http://schemas.microsoft.com/office/drawing/2014/chart" uri="{C3380CC4-5D6E-409C-BE32-E72D297353CC}">
              <c16:uniqueId val="{00000001-1082-4539-9B3D-938DCB01A38D}"/>
            </c:ext>
          </c:extLst>
        </c:ser>
        <c:ser>
          <c:idx val="2"/>
          <c:order val="2"/>
          <c:tx>
            <c:strRef>
              <c:f>'Pots and traps over 12m'!$H$165</c:f>
              <c:strCache>
                <c:ptCount val="1"/>
                <c:pt idx="0">
                  <c:v>Lobsters</c:v>
                </c:pt>
              </c:strCache>
            </c:strRef>
          </c:tx>
          <c:spPr>
            <a:solidFill>
              <a:srgbClr val="E87308"/>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12m'!$I$165:$K$165</c:f>
              <c:numCache>
                <c:formatCode>0%</c:formatCode>
                <c:ptCount val="3"/>
                <c:pt idx="0">
                  <c:v>0.22088530705002316</c:v>
                </c:pt>
                <c:pt idx="1">
                  <c:v>0.12398289450432157</c:v>
                </c:pt>
                <c:pt idx="2">
                  <c:v>0.29338636048014216</c:v>
                </c:pt>
              </c:numCache>
            </c:numRef>
          </c:val>
          <c:extLst>
            <c:ext xmlns:c16="http://schemas.microsoft.com/office/drawing/2014/chart" uri="{C3380CC4-5D6E-409C-BE32-E72D297353CC}">
              <c16:uniqueId val="{00000002-1082-4539-9B3D-938DCB01A38D}"/>
            </c:ext>
          </c:extLst>
        </c:ser>
        <c:ser>
          <c:idx val="3"/>
          <c:order val="3"/>
          <c:tx>
            <c:strRef>
              <c:f>'Pots and traps over 12m'!$H$166</c:f>
              <c:strCache>
                <c:ptCount val="1"/>
                <c:pt idx="0">
                  <c:v>Nephrops</c:v>
                </c:pt>
              </c:strCache>
            </c:strRef>
          </c:tx>
          <c:spPr>
            <a:solidFill>
              <a:srgbClr val="C1D119"/>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12m'!$I$166:$K$166</c:f>
              <c:numCache>
                <c:formatCode>0%</c:formatCode>
                <c:ptCount val="3"/>
                <c:pt idx="0">
                  <c:v>0</c:v>
                </c:pt>
                <c:pt idx="1">
                  <c:v>3.4344636752362691E-2</c:v>
                </c:pt>
                <c:pt idx="2">
                  <c:v>0</c:v>
                </c:pt>
              </c:numCache>
            </c:numRef>
          </c:val>
          <c:extLst>
            <c:ext xmlns:c16="http://schemas.microsoft.com/office/drawing/2014/chart" uri="{C3380CC4-5D6E-409C-BE32-E72D297353CC}">
              <c16:uniqueId val="{00000003-1082-4539-9B3D-938DCB01A38D}"/>
            </c:ext>
          </c:extLst>
        </c:ser>
        <c:ser>
          <c:idx val="4"/>
          <c:order val="4"/>
          <c:tx>
            <c:strRef>
              <c:f>'Pots and traps over 12m'!$H$167</c:f>
              <c:strCache>
                <c:ptCount val="1"/>
                <c:pt idx="0">
                  <c:v>Spider Crabs</c:v>
                </c:pt>
              </c:strCache>
            </c:strRef>
          </c:tx>
          <c:spPr>
            <a:solidFill>
              <a:srgbClr val="0F9AA9"/>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12m'!$I$167:$K$167</c:f>
              <c:numCache>
                <c:formatCode>0%</c:formatCode>
                <c:ptCount val="3"/>
                <c:pt idx="0">
                  <c:v>0</c:v>
                </c:pt>
                <c:pt idx="1">
                  <c:v>2.2215579902270023E-3</c:v>
                </c:pt>
                <c:pt idx="2">
                  <c:v>4.095795511072438E-4</c:v>
                </c:pt>
              </c:numCache>
            </c:numRef>
          </c:val>
          <c:extLst>
            <c:ext xmlns:c16="http://schemas.microsoft.com/office/drawing/2014/chart" uri="{C3380CC4-5D6E-409C-BE32-E72D297353CC}">
              <c16:uniqueId val="{00000004-1082-4539-9B3D-938DCB01A38D}"/>
            </c:ext>
          </c:extLst>
        </c:ser>
        <c:ser>
          <c:idx val="5"/>
          <c:order val="5"/>
          <c:tx>
            <c:strRef>
              <c:f>'Pots and traps over 12m'!$H$168</c:f>
              <c:strCache>
                <c:ptCount val="1"/>
                <c:pt idx="0">
                  <c:v>Velvet Crab</c:v>
                </c:pt>
              </c:strCache>
            </c:strRef>
          </c:tx>
          <c:spPr>
            <a:solidFill>
              <a:srgbClr val="FED825"/>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12m'!$I$168:$K$168</c:f>
              <c:numCache>
                <c:formatCode>0%</c:formatCode>
                <c:ptCount val="3"/>
                <c:pt idx="0">
                  <c:v>1.6582652461524981E-4</c:v>
                </c:pt>
                <c:pt idx="1">
                  <c:v>0</c:v>
                </c:pt>
                <c:pt idx="2">
                  <c:v>4.521082727583405E-3</c:v>
                </c:pt>
              </c:numCache>
            </c:numRef>
          </c:val>
          <c:extLst>
            <c:ext xmlns:c16="http://schemas.microsoft.com/office/drawing/2014/chart" uri="{C3380CC4-5D6E-409C-BE32-E72D297353CC}">
              <c16:uniqueId val="{00000005-1082-4539-9B3D-938DCB01A38D}"/>
            </c:ext>
          </c:extLst>
        </c:ser>
        <c:ser>
          <c:idx val="6"/>
          <c:order val="6"/>
          <c:tx>
            <c:strRef>
              <c:f>'Pots and traps over 12m'!$H$169</c:f>
              <c:strCache>
                <c:ptCount val="1"/>
                <c:pt idx="0">
                  <c:v>Scallops</c:v>
                </c:pt>
              </c:strCache>
            </c:strRef>
          </c:tx>
          <c:spPr>
            <a:solidFill>
              <a:srgbClr val="E84A38"/>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12m'!$I$169:$K$169</c:f>
              <c:numCache>
                <c:formatCode>0%</c:formatCode>
                <c:ptCount val="3"/>
                <c:pt idx="0">
                  <c:v>4.2048700814866294E-3</c:v>
                </c:pt>
                <c:pt idx="1">
                  <c:v>0</c:v>
                </c:pt>
                <c:pt idx="2">
                  <c:v>0</c:v>
                </c:pt>
              </c:numCache>
            </c:numRef>
          </c:val>
          <c:extLst>
            <c:ext xmlns:c16="http://schemas.microsoft.com/office/drawing/2014/chart" uri="{C3380CC4-5D6E-409C-BE32-E72D297353CC}">
              <c16:uniqueId val="{00000006-1082-4539-9B3D-938DCB01A38D}"/>
            </c:ext>
          </c:extLst>
        </c:ser>
        <c:ser>
          <c:idx val="7"/>
          <c:order val="7"/>
          <c:tx>
            <c:strRef>
              <c:f>'Pots and traps over 12m'!$H$170</c:f>
              <c:strCache>
                <c:ptCount val="1"/>
                <c:pt idx="0">
                  <c:v>Others</c:v>
                </c:pt>
              </c:strCache>
            </c:strRef>
          </c:tx>
          <c:spPr>
            <a:solidFill>
              <a:srgbClr val="55585A"/>
            </a:solidFill>
            <a:ln>
              <a:solidFill>
                <a:srgbClr val="FFFFFF"/>
              </a:solidFill>
            </a:ln>
          </c:spPr>
          <c:invertIfNegative val="0"/>
          <c:cat>
            <c:strRef>
              <c:f>'Pots and traps over 12m'!$I$162:$K$162</c:f>
              <c:strCache>
                <c:ptCount val="3"/>
                <c:pt idx="0">
                  <c:v>Most
profitable
quartile</c:v>
                </c:pt>
                <c:pt idx="1">
                  <c:v>Middle 
two quartiles</c:v>
                </c:pt>
                <c:pt idx="2">
                  <c:v>Least
profitable
quartile</c:v>
                </c:pt>
              </c:strCache>
            </c:strRef>
          </c:cat>
          <c:val>
            <c:numRef>
              <c:f>'Pots and traps over 12m'!$I$170:$K$170</c:f>
              <c:numCache>
                <c:formatCode>0%</c:formatCode>
                <c:ptCount val="3"/>
                <c:pt idx="0">
                  <c:v>1.0597077031604396E-4</c:v>
                </c:pt>
                <c:pt idx="1">
                  <c:v>7.3708232151670217E-4</c:v>
                </c:pt>
                <c:pt idx="2">
                  <c:v>3.8386244997123953E-4</c:v>
                </c:pt>
              </c:numCache>
            </c:numRef>
          </c:val>
          <c:extLst>
            <c:ext xmlns:c16="http://schemas.microsoft.com/office/drawing/2014/chart" uri="{C3380CC4-5D6E-409C-BE32-E72D297353CC}">
              <c16:uniqueId val="{00000007-1082-4539-9B3D-938DCB01A38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o250kW'!$K$140</c:f>
              <c:strCache>
                <c:ptCount val="1"/>
                <c:pt idx="0">
                  <c:v>Total income</c:v>
                </c:pt>
              </c:strCache>
            </c:strRef>
          </c:tx>
          <c:spPr>
            <a:solidFill>
              <a:srgbClr val="087CBB"/>
            </a:solidFill>
            <a:ln>
              <a:solidFill>
                <a:schemeClr val="accent1"/>
              </a:solidFill>
            </a:ln>
          </c:spPr>
          <c:invertIfNegative val="0"/>
          <c:cat>
            <c:strRef>
              <c:f>'Area VIIa nephrops o250kW'!$L$139:$N$139</c:f>
              <c:strCache>
                <c:ptCount val="3"/>
                <c:pt idx="0">
                  <c:v>Most
profitable
quartile</c:v>
                </c:pt>
                <c:pt idx="1">
                  <c:v>Middle
two quartiles</c:v>
                </c:pt>
                <c:pt idx="2">
                  <c:v>Least
profitable
quartile</c:v>
                </c:pt>
              </c:strCache>
            </c:strRef>
          </c:cat>
          <c:val>
            <c:numRef>
              <c:f>'Area VIIa nephrops o250kW'!$L$140:$N$140</c:f>
              <c:numCache>
                <c:formatCode>#,##0</c:formatCode>
                <c:ptCount val="3"/>
                <c:pt idx="0">
                  <c:v>394.02165624999998</c:v>
                </c:pt>
                <c:pt idx="1">
                  <c:v>384.03801249999998</c:v>
                </c:pt>
                <c:pt idx="2">
                  <c:v>249.36215625</c:v>
                </c:pt>
              </c:numCache>
            </c:numRef>
          </c:val>
          <c:extLst>
            <c:ext xmlns:c16="http://schemas.microsoft.com/office/drawing/2014/chart" uri="{C3380CC4-5D6E-409C-BE32-E72D297353CC}">
              <c16:uniqueId val="{00000000-DE4D-44B7-BE26-AB82A6E9EA18}"/>
            </c:ext>
          </c:extLst>
        </c:ser>
        <c:ser>
          <c:idx val="1"/>
          <c:order val="1"/>
          <c:tx>
            <c:strRef>
              <c:f>'Area VIIa nephrops o250kW'!$K$141</c:f>
              <c:strCache>
                <c:ptCount val="1"/>
                <c:pt idx="0">
                  <c:v>Operating costs</c:v>
                </c:pt>
              </c:strCache>
            </c:strRef>
          </c:tx>
          <c:spPr>
            <a:solidFill>
              <a:srgbClr val="E87308"/>
            </a:solidFill>
          </c:spPr>
          <c:invertIfNegative val="0"/>
          <c:cat>
            <c:strRef>
              <c:f>'Area VIIa nephrops o250kW'!$L$139:$N$139</c:f>
              <c:strCache>
                <c:ptCount val="3"/>
                <c:pt idx="0">
                  <c:v>Most
profitable
quartile</c:v>
                </c:pt>
                <c:pt idx="1">
                  <c:v>Middle
two quartiles</c:v>
                </c:pt>
                <c:pt idx="2">
                  <c:v>Least
profitable
quartile</c:v>
                </c:pt>
              </c:strCache>
            </c:strRef>
          </c:cat>
          <c:val>
            <c:numRef>
              <c:f>'Area VIIa nephrops o250kW'!$L$141:$N$141</c:f>
              <c:numCache>
                <c:formatCode>#,##0</c:formatCode>
                <c:ptCount val="3"/>
                <c:pt idx="0">
                  <c:v>303.21875</c:v>
                </c:pt>
                <c:pt idx="1">
                  <c:v>331.60706041666703</c:v>
                </c:pt>
                <c:pt idx="2">
                  <c:v>228.51696874999999</c:v>
                </c:pt>
              </c:numCache>
            </c:numRef>
          </c:val>
          <c:extLst>
            <c:ext xmlns:c16="http://schemas.microsoft.com/office/drawing/2014/chart" uri="{C3380CC4-5D6E-409C-BE32-E72D297353CC}">
              <c16:uniqueId val="{00000001-DE4D-44B7-BE26-AB82A6E9EA18}"/>
            </c:ext>
          </c:extLst>
        </c:ser>
        <c:ser>
          <c:idx val="2"/>
          <c:order val="2"/>
          <c:tx>
            <c:strRef>
              <c:f>'Area VIIa nephrops o250kW'!$K$142</c:f>
              <c:strCache>
                <c:ptCount val="1"/>
                <c:pt idx="0">
                  <c:v>Operating profit</c:v>
                </c:pt>
              </c:strCache>
            </c:strRef>
          </c:tx>
          <c:spPr>
            <a:solidFill>
              <a:srgbClr val="51AA81"/>
            </a:solidFill>
          </c:spPr>
          <c:invertIfNegative val="0"/>
          <c:cat>
            <c:strRef>
              <c:f>'Area VIIa nephrops o250kW'!$L$139:$N$139</c:f>
              <c:strCache>
                <c:ptCount val="3"/>
                <c:pt idx="0">
                  <c:v>Most
profitable
quartile</c:v>
                </c:pt>
                <c:pt idx="1">
                  <c:v>Middle
two quartiles</c:v>
                </c:pt>
                <c:pt idx="2">
                  <c:v>Least
profitable
quartile</c:v>
                </c:pt>
              </c:strCache>
            </c:strRef>
          </c:cat>
          <c:val>
            <c:numRef>
              <c:f>'Area VIIa nephrops o250kW'!$L$142:$N$142</c:f>
              <c:numCache>
                <c:formatCode>#,##0</c:formatCode>
                <c:ptCount val="3"/>
                <c:pt idx="0">
                  <c:v>90.802906250000007</c:v>
                </c:pt>
                <c:pt idx="1">
                  <c:v>52.430952083333302</c:v>
                </c:pt>
                <c:pt idx="2">
                  <c:v>20.845187500000002</c:v>
                </c:pt>
              </c:numCache>
            </c:numRef>
          </c:val>
          <c:extLst>
            <c:ext xmlns:c16="http://schemas.microsoft.com/office/drawing/2014/chart" uri="{C3380CC4-5D6E-409C-BE32-E72D297353CC}">
              <c16:uniqueId val="{00000002-DE4D-44B7-BE26-AB82A6E9EA18}"/>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nephrops o250kW'!$K$143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over 12m'!$K$140</c:f>
              <c:strCache>
                <c:ptCount val="1"/>
                <c:pt idx="0">
                  <c:v>Total income</c:v>
                </c:pt>
              </c:strCache>
            </c:strRef>
          </c:tx>
          <c:spPr>
            <a:solidFill>
              <a:srgbClr val="087CBB"/>
            </a:solidFill>
            <a:ln>
              <a:solidFill>
                <a:schemeClr val="accent1"/>
              </a:solidFill>
            </a:ln>
          </c:spPr>
          <c:invertIfNegative val="0"/>
          <c:cat>
            <c:strRef>
              <c:f>'Pots and traps over 12m'!$L$139:$N$139</c:f>
              <c:strCache>
                <c:ptCount val="3"/>
                <c:pt idx="0">
                  <c:v>Most
profitable
quartile</c:v>
                </c:pt>
                <c:pt idx="1">
                  <c:v>Middle
two quartiles</c:v>
                </c:pt>
                <c:pt idx="2">
                  <c:v>Least
profitable
quartile</c:v>
                </c:pt>
              </c:strCache>
            </c:strRef>
          </c:cat>
          <c:val>
            <c:numRef>
              <c:f>'Pots and traps over 12m'!$L$140:$N$140</c:f>
              <c:numCache>
                <c:formatCode>#,##0</c:formatCode>
                <c:ptCount val="3"/>
                <c:pt idx="0">
                  <c:v>1069.249875</c:v>
                </c:pt>
                <c:pt idx="1">
                  <c:v>543.46990625000001</c:v>
                </c:pt>
                <c:pt idx="2">
                  <c:v>217.814328125</c:v>
                </c:pt>
              </c:numCache>
            </c:numRef>
          </c:val>
          <c:extLst>
            <c:ext xmlns:c16="http://schemas.microsoft.com/office/drawing/2014/chart" uri="{C3380CC4-5D6E-409C-BE32-E72D297353CC}">
              <c16:uniqueId val="{00000000-F395-4BE4-80B9-45F5301209A3}"/>
            </c:ext>
          </c:extLst>
        </c:ser>
        <c:ser>
          <c:idx val="1"/>
          <c:order val="1"/>
          <c:tx>
            <c:strRef>
              <c:f>'Pots and traps over 12m'!$K$141</c:f>
              <c:strCache>
                <c:ptCount val="1"/>
                <c:pt idx="0">
                  <c:v>Operating costs</c:v>
                </c:pt>
              </c:strCache>
            </c:strRef>
          </c:tx>
          <c:spPr>
            <a:solidFill>
              <a:srgbClr val="E87308"/>
            </a:solidFill>
          </c:spPr>
          <c:invertIfNegative val="0"/>
          <c:cat>
            <c:strRef>
              <c:f>'Pots and traps over 12m'!$L$139:$N$139</c:f>
              <c:strCache>
                <c:ptCount val="3"/>
                <c:pt idx="0">
                  <c:v>Most
profitable
quartile</c:v>
                </c:pt>
                <c:pt idx="1">
                  <c:v>Middle
two quartiles</c:v>
                </c:pt>
                <c:pt idx="2">
                  <c:v>Least
profitable
quartile</c:v>
                </c:pt>
              </c:strCache>
            </c:strRef>
          </c:cat>
          <c:val>
            <c:numRef>
              <c:f>'Pots and traps over 12m'!$L$141:$N$141</c:f>
              <c:numCache>
                <c:formatCode>#,##0</c:formatCode>
                <c:ptCount val="3"/>
                <c:pt idx="0">
                  <c:v>809.86937499999999</c:v>
                </c:pt>
                <c:pt idx="1">
                  <c:v>439.49656249999998</c:v>
                </c:pt>
                <c:pt idx="2">
                  <c:v>198.49781250000001</c:v>
                </c:pt>
              </c:numCache>
            </c:numRef>
          </c:val>
          <c:extLst>
            <c:ext xmlns:c16="http://schemas.microsoft.com/office/drawing/2014/chart" uri="{C3380CC4-5D6E-409C-BE32-E72D297353CC}">
              <c16:uniqueId val="{00000001-F395-4BE4-80B9-45F5301209A3}"/>
            </c:ext>
          </c:extLst>
        </c:ser>
        <c:ser>
          <c:idx val="2"/>
          <c:order val="2"/>
          <c:tx>
            <c:strRef>
              <c:f>'Pots and traps over 12m'!$K$142</c:f>
              <c:strCache>
                <c:ptCount val="1"/>
                <c:pt idx="0">
                  <c:v>Operating profit</c:v>
                </c:pt>
              </c:strCache>
            </c:strRef>
          </c:tx>
          <c:spPr>
            <a:solidFill>
              <a:srgbClr val="51AA81"/>
            </a:solidFill>
          </c:spPr>
          <c:invertIfNegative val="0"/>
          <c:cat>
            <c:strRef>
              <c:f>'Pots and traps over 12m'!$L$139:$N$139</c:f>
              <c:strCache>
                <c:ptCount val="3"/>
                <c:pt idx="0">
                  <c:v>Most
profitable
quartile</c:v>
                </c:pt>
                <c:pt idx="1">
                  <c:v>Middle
two quartiles</c:v>
                </c:pt>
                <c:pt idx="2">
                  <c:v>Least
profitable
quartile</c:v>
                </c:pt>
              </c:strCache>
            </c:strRef>
          </c:cat>
          <c:val>
            <c:numRef>
              <c:f>'Pots and traps over 12m'!$L$142:$N$142</c:f>
              <c:numCache>
                <c:formatCode>#,##0</c:formatCode>
                <c:ptCount val="3"/>
                <c:pt idx="0">
                  <c:v>259.38049999999998</c:v>
                </c:pt>
                <c:pt idx="1">
                  <c:v>103.97334375</c:v>
                </c:pt>
                <c:pt idx="2">
                  <c:v>19.316515625000001</c:v>
                </c:pt>
              </c:numCache>
            </c:numRef>
          </c:val>
          <c:extLst>
            <c:ext xmlns:c16="http://schemas.microsoft.com/office/drawing/2014/chart" uri="{C3380CC4-5D6E-409C-BE32-E72D297353CC}">
              <c16:uniqueId val="{00000002-F395-4BE4-80B9-45F5301209A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'Pots and traps over 12m'!$K$143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o250kW'!$A$49</c:f>
          <c:strCache>
            <c:ptCount val="1"/>
            <c:pt idx="0">
              <c:v>Landings per kW day at sea (kg)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24F5-4BBE-BCC0-89342BE3E267}"/>
              </c:ext>
            </c:extLst>
          </c:dPt>
          <c:dPt>
            <c:idx val="10"/>
            <c:bubble3D val="0"/>
            <c:spPr>
              <a:ln w="57150">
                <a:solidFill>
                  <a:srgbClr val="2273B9"/>
                </a:solidFill>
                <a:prstDash val="sysDot"/>
              </a:ln>
            </c:spPr>
            <c:extLst>
              <c:ext xmlns:c16="http://schemas.microsoft.com/office/drawing/2014/chart" uri="{C3380CC4-5D6E-409C-BE32-E72D297353CC}">
                <c16:uniqueId val="{00000003-24F5-4BBE-BCC0-89342BE3E267}"/>
              </c:ext>
            </c:extLst>
          </c:dPt>
          <c:cat>
            <c:numRef>
              <c:f>'South West beamers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o250kW'!$D$22:$N$22</c:f>
              <c:numCache>
                <c:formatCode>#,##0.00</c:formatCode>
                <c:ptCount val="11"/>
                <c:pt idx="0">
                  <c:v>2.284056788630092</c:v>
                </c:pt>
                <c:pt idx="1">
                  <c:v>2.176908811754287</c:v>
                </c:pt>
                <c:pt idx="2">
                  <c:v>2.0186501234681971</c:v>
                </c:pt>
                <c:pt idx="3">
                  <c:v>2.2926983898693432</c:v>
                </c:pt>
                <c:pt idx="4">
                  <c:v>2.1799462159080503</c:v>
                </c:pt>
                <c:pt idx="5">
                  <c:v>2.1026288459279123</c:v>
                </c:pt>
                <c:pt idx="6">
                  <c:v>1.9874593747907627</c:v>
                </c:pt>
                <c:pt idx="7">
                  <c:v>2.1992680264245439</c:v>
                </c:pt>
                <c:pt idx="8">
                  <c:v>2.1116023440825491</c:v>
                </c:pt>
                <c:pt idx="9">
                  <c:v>2.0939237512531688</c:v>
                </c:pt>
                <c:pt idx="10">
                  <c:v>2.2147022736879847</c:v>
                </c:pt>
              </c:numCache>
            </c:numRef>
          </c:val>
          <c:smooth val="0"/>
          <c:extLst>
            <c:ext xmlns:c16="http://schemas.microsoft.com/office/drawing/2014/chart" uri="{C3380CC4-5D6E-409C-BE32-E72D297353CC}">
              <c16:uniqueId val="{00000004-24F5-4BBE-BCC0-89342BE3E267}"/>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o250kW'!$A$50</c:f>
          <c:strCache>
            <c:ptCount val="1"/>
            <c:pt idx="0">
              <c:v>Fishing income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3480-433E-B012-3C41BA35E7BA}"/>
              </c:ext>
            </c:extLst>
          </c:dPt>
          <c:dPt>
            <c:idx val="10"/>
            <c:bubble3D val="0"/>
            <c:spPr>
              <a:ln w="57150">
                <a:solidFill>
                  <a:srgbClr val="648C2E"/>
                </a:solidFill>
                <a:prstDash val="sysDot"/>
              </a:ln>
            </c:spPr>
            <c:extLst>
              <c:ext xmlns:c16="http://schemas.microsoft.com/office/drawing/2014/chart" uri="{C3380CC4-5D6E-409C-BE32-E72D297353CC}">
                <c16:uniqueId val="{00000003-3480-433E-B012-3C41BA35E7BA}"/>
              </c:ext>
            </c:extLst>
          </c:dPt>
          <c:cat>
            <c:numRef>
              <c:f>'South West beamers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o250kW'!$D$23:$N$23</c:f>
              <c:numCache>
                <c:formatCode>#,##0.00</c:formatCode>
                <c:ptCount val="11"/>
                <c:pt idx="0">
                  <c:v>6.8409293396834503</c:v>
                </c:pt>
                <c:pt idx="1">
                  <c:v>6.4740511157500498</c:v>
                </c:pt>
                <c:pt idx="2">
                  <c:v>6.1610239503584898</c:v>
                </c:pt>
                <c:pt idx="3">
                  <c:v>6.5380015556756099</c:v>
                </c:pt>
                <c:pt idx="4">
                  <c:v>7.5574230923015202</c:v>
                </c:pt>
                <c:pt idx="5">
                  <c:v>8.0833425906059002</c:v>
                </c:pt>
                <c:pt idx="6">
                  <c:v>8.1247032183876406</c:v>
                </c:pt>
                <c:pt idx="7">
                  <c:v>8.3671908833927802</c:v>
                </c:pt>
                <c:pt idx="8">
                  <c:v>7.1295588862999697</c:v>
                </c:pt>
                <c:pt idx="9">
                  <c:v>8.2698858876578001</c:v>
                </c:pt>
                <c:pt idx="10">
                  <c:v>9.9449968961577184</c:v>
                </c:pt>
              </c:numCache>
            </c:numRef>
          </c:val>
          <c:smooth val="0"/>
          <c:extLst>
            <c:ext xmlns:c16="http://schemas.microsoft.com/office/drawing/2014/chart" uri="{C3380CC4-5D6E-409C-BE32-E72D297353CC}">
              <c16:uniqueId val="{00000004-3480-433E-B012-3C41BA35E7BA}"/>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o250kW'!$B$63</c:f>
          <c:strCache>
            <c:ptCount val="1"/>
            <c:pt idx="0">
              <c:v>Total cost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880-40F8-9E12-821DCEFBCA8B}"/>
              </c:ext>
            </c:extLst>
          </c:dPt>
          <c:dPt>
            <c:idx val="10"/>
            <c:bubble3D val="0"/>
            <c:spPr>
              <a:ln w="57150">
                <a:solidFill>
                  <a:srgbClr val="087CBB"/>
                </a:solidFill>
                <a:prstDash val="sysDot"/>
              </a:ln>
            </c:spPr>
            <c:extLst>
              <c:ext xmlns:c16="http://schemas.microsoft.com/office/drawing/2014/chart" uri="{C3380CC4-5D6E-409C-BE32-E72D297353CC}">
                <c16:uniqueId val="{00000003-A880-40F8-9E12-821DCEFBCA8B}"/>
              </c:ext>
            </c:extLst>
          </c:dPt>
          <c:cat>
            <c:numRef>
              <c:f>'South West beamers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o250kW'!$D$24:$N$24</c:f>
              <c:numCache>
                <c:formatCode>#,##0.00</c:formatCode>
                <c:ptCount val="11"/>
                <c:pt idx="0">
                  <c:v>6.8048768010018099</c:v>
                </c:pt>
                <c:pt idx="1">
                  <c:v>6.3850434752763503</c:v>
                </c:pt>
                <c:pt idx="2">
                  <c:v>6.1387305845083304</c:v>
                </c:pt>
                <c:pt idx="3">
                  <c:v>7.5937910034043599</c:v>
                </c:pt>
                <c:pt idx="4">
                  <c:v>6.3105720619395402</c:v>
                </c:pt>
                <c:pt idx="5">
                  <c:v>6.7686066714276798</c:v>
                </c:pt>
                <c:pt idx="6">
                  <c:v>7.2139403319321698</c:v>
                </c:pt>
                <c:pt idx="7">
                  <c:v>7.6533196066740699</c:v>
                </c:pt>
                <c:pt idx="8">
                  <c:v>6.9428646556660798</c:v>
                </c:pt>
                <c:pt idx="9">
                  <c:v>7.2597368140693597</c:v>
                </c:pt>
                <c:pt idx="10">
                  <c:v>9.3462038819907978</c:v>
                </c:pt>
              </c:numCache>
            </c:numRef>
          </c:val>
          <c:smooth val="0"/>
          <c:extLst>
            <c:ext xmlns:c16="http://schemas.microsoft.com/office/drawing/2014/chart" uri="{C3380CC4-5D6E-409C-BE32-E72D297353CC}">
              <c16:uniqueId val="{00000004-A880-40F8-9E12-821DCEFBCA8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o250kW'!$K$49</c:f>
          <c:strCache>
            <c:ptCount val="1"/>
            <c:pt idx="0">
              <c:v>Operating profit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E3CD-48A5-B342-6EF0BB22FF8A}"/>
              </c:ext>
            </c:extLst>
          </c:dPt>
          <c:dPt>
            <c:idx val="10"/>
            <c:bubble3D val="0"/>
            <c:spPr>
              <a:ln w="57150">
                <a:solidFill>
                  <a:schemeClr val="accent3"/>
                </a:solidFill>
                <a:prstDash val="sysDot"/>
              </a:ln>
            </c:spPr>
            <c:extLst>
              <c:ext xmlns:c16="http://schemas.microsoft.com/office/drawing/2014/chart" uri="{C3380CC4-5D6E-409C-BE32-E72D297353CC}">
                <c16:uniqueId val="{00000003-E3CD-48A5-B342-6EF0BB22FF8A}"/>
              </c:ext>
            </c:extLst>
          </c:dPt>
          <c:cat>
            <c:numRef>
              <c:f>'South West beamers o250kW'!$D$2:$N$2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o250kW'!$D$25:$N$25</c:f>
              <c:numCache>
                <c:formatCode>#,##0.00</c:formatCode>
                <c:ptCount val="11"/>
                <c:pt idx="0">
                  <c:v>0.26863132342745999</c:v>
                </c:pt>
                <c:pt idx="1">
                  <c:v>0.111709572778525</c:v>
                </c:pt>
                <c:pt idx="2">
                  <c:v>0.51743273249008503</c:v>
                </c:pt>
                <c:pt idx="3">
                  <c:v>0.61875373667964795</c:v>
                </c:pt>
                <c:pt idx="4">
                  <c:v>1.24685103036198</c:v>
                </c:pt>
                <c:pt idx="5">
                  <c:v>1.3286866053792901</c:v>
                </c:pt>
                <c:pt idx="6">
                  <c:v>0.91262261743593298</c:v>
                </c:pt>
                <c:pt idx="7">
                  <c:v>0.71390301301585102</c:v>
                </c:pt>
                <c:pt idx="8">
                  <c:v>0.20244341665790899</c:v>
                </c:pt>
                <c:pt idx="9">
                  <c:v>1.0227454116494401</c:v>
                </c:pt>
                <c:pt idx="10">
                  <c:v>0.59879301416691999</c:v>
                </c:pt>
              </c:numCache>
            </c:numRef>
          </c:val>
          <c:smooth val="0"/>
          <c:extLst>
            <c:ext xmlns:c16="http://schemas.microsoft.com/office/drawing/2014/chart" uri="{C3380CC4-5D6E-409C-BE32-E72D297353CC}">
              <c16:uniqueId val="{00000004-E3CD-48A5-B342-6EF0BB22FF8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o250kW'!$A$51</c:f>
          <c:strCache>
            <c:ptCount val="1"/>
            <c:pt idx="0">
              <c:v>Average price per tonne landed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84DD-4796-A596-FBC4CFC4AE17}"/>
              </c:ext>
            </c:extLst>
          </c:dPt>
          <c:dPt>
            <c:idx val="10"/>
            <c:bubble3D val="0"/>
            <c:spPr>
              <a:ln w="57150">
                <a:solidFill>
                  <a:schemeClr val="accent4"/>
                </a:solidFill>
                <a:prstDash val="sysDot"/>
              </a:ln>
            </c:spPr>
            <c:extLst>
              <c:ext xmlns:c16="http://schemas.microsoft.com/office/drawing/2014/chart" uri="{C3380CC4-5D6E-409C-BE32-E72D297353CC}">
                <c16:uniqueId val="{00000003-84DD-4796-A596-FBC4CFC4AE17}"/>
              </c:ext>
            </c:extLst>
          </c:dPt>
          <c:cat>
            <c:numRef>
              <c:f>'South West beamers o250kW'!$D$2:$M$2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o250kW'!$D$21:$N$21</c:f>
              <c:numCache>
                <c:formatCode>#,##0</c:formatCode>
                <c:ptCount val="11"/>
                <c:pt idx="0">
                  <c:v>2995</c:v>
                </c:pt>
                <c:pt idx="1">
                  <c:v>2974</c:v>
                </c:pt>
                <c:pt idx="2">
                  <c:v>3052</c:v>
                </c:pt>
                <c:pt idx="3">
                  <c:v>2852</c:v>
                </c:pt>
                <c:pt idx="4">
                  <c:v>3467</c:v>
                </c:pt>
                <c:pt idx="5">
                  <c:v>3844</c:v>
                </c:pt>
                <c:pt idx="6">
                  <c:v>4088</c:v>
                </c:pt>
                <c:pt idx="7">
                  <c:v>3805</c:v>
                </c:pt>
                <c:pt idx="8">
                  <c:v>3376</c:v>
                </c:pt>
                <c:pt idx="9">
                  <c:v>3949</c:v>
                </c:pt>
                <c:pt idx="10">
                  <c:v>4490</c:v>
                </c:pt>
              </c:numCache>
            </c:numRef>
          </c:val>
          <c:smooth val="0"/>
          <c:extLst>
            <c:ext xmlns:c16="http://schemas.microsoft.com/office/drawing/2014/chart" uri="{C3380CC4-5D6E-409C-BE32-E72D297353CC}">
              <c16:uniqueId val="{00000004-84DD-4796-A596-FBC4CFC4AE17}"/>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o250kW'!$K$63</c:f>
          <c:strCache>
            <c:ptCount val="1"/>
            <c:pt idx="0">
              <c:v>Average annual operating profit per vessel (£'000)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E5E9-4A51-ACFC-6470DE8F9529}"/>
              </c:ext>
            </c:extLst>
          </c:dPt>
          <c:dPt>
            <c:idx val="10"/>
            <c:bubble3D val="0"/>
            <c:spPr>
              <a:ln w="57150">
                <a:solidFill>
                  <a:schemeClr val="accent5"/>
                </a:solidFill>
                <a:prstDash val="sysDot"/>
              </a:ln>
            </c:spPr>
            <c:extLst>
              <c:ext xmlns:c16="http://schemas.microsoft.com/office/drawing/2014/chart" uri="{C3380CC4-5D6E-409C-BE32-E72D297353CC}">
                <c16:uniqueId val="{00000003-E5E9-4A51-ACFC-6470DE8F9529}"/>
              </c:ext>
            </c:extLst>
          </c:dPt>
          <c:cat>
            <c:numRef>
              <c:f>'South West beamers o250kW'!$D$2:$M$2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o250kW'!$D$38:$N$38</c:f>
              <c:numCache>
                <c:formatCode>#,##0.0</c:formatCode>
                <c:ptCount val="11"/>
                <c:pt idx="0">
                  <c:v>35.9</c:v>
                </c:pt>
                <c:pt idx="1">
                  <c:v>15</c:v>
                </c:pt>
                <c:pt idx="2">
                  <c:v>68.7</c:v>
                </c:pt>
                <c:pt idx="3">
                  <c:v>75.5</c:v>
                </c:pt>
                <c:pt idx="4">
                  <c:v>161.80000000000001</c:v>
                </c:pt>
                <c:pt idx="5">
                  <c:v>188.2</c:v>
                </c:pt>
                <c:pt idx="6">
                  <c:v>122.2</c:v>
                </c:pt>
                <c:pt idx="7">
                  <c:v>90.7</c:v>
                </c:pt>
                <c:pt idx="8">
                  <c:v>26.9</c:v>
                </c:pt>
                <c:pt idx="9">
                  <c:v>140.4</c:v>
                </c:pt>
                <c:pt idx="10">
                  <c:v>86.2</c:v>
                </c:pt>
              </c:numCache>
            </c:numRef>
          </c:val>
          <c:smooth val="0"/>
          <c:extLst>
            <c:ext xmlns:c16="http://schemas.microsoft.com/office/drawing/2014/chart" uri="{C3380CC4-5D6E-409C-BE32-E72D297353CC}">
              <c16:uniqueId val="{00000004-E5E9-4A51-ACFC-6470DE8F9529}"/>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o250kW'!$A$77</c:f>
          <c:strCache>
            <c:ptCount val="1"/>
            <c:pt idx="0">
              <c:v>Top 5 landed species by volume in 2021
South West beamers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A387-4FF6-91CD-327D766BB2B3}"/>
              </c:ext>
            </c:extLst>
          </c:dPt>
          <c:dPt>
            <c:idx val="1"/>
            <c:bubble3D val="0"/>
            <c:spPr>
              <a:solidFill>
                <a:srgbClr val="E87308"/>
              </a:solidFill>
              <a:ln>
                <a:solidFill>
                  <a:srgbClr val="FFFFFF"/>
                </a:solidFill>
              </a:ln>
            </c:spPr>
            <c:extLst>
              <c:ext xmlns:c16="http://schemas.microsoft.com/office/drawing/2014/chart" uri="{C3380CC4-5D6E-409C-BE32-E72D297353CC}">
                <c16:uniqueId val="{00000003-A387-4FF6-91CD-327D766BB2B3}"/>
              </c:ext>
            </c:extLst>
          </c:dPt>
          <c:dPt>
            <c:idx val="2"/>
            <c:bubble3D val="0"/>
            <c:spPr>
              <a:solidFill>
                <a:srgbClr val="2273B9"/>
              </a:solidFill>
              <a:ln>
                <a:solidFill>
                  <a:srgbClr val="FFFFFF"/>
                </a:solidFill>
              </a:ln>
            </c:spPr>
            <c:extLst>
              <c:ext xmlns:c16="http://schemas.microsoft.com/office/drawing/2014/chart" uri="{C3380CC4-5D6E-409C-BE32-E72D297353CC}">
                <c16:uniqueId val="{00000005-A387-4FF6-91CD-327D766BB2B3}"/>
              </c:ext>
            </c:extLst>
          </c:dPt>
          <c:dPt>
            <c:idx val="3"/>
            <c:bubble3D val="0"/>
            <c:spPr>
              <a:solidFill>
                <a:srgbClr val="E84A38"/>
              </a:solidFill>
              <a:ln>
                <a:solidFill>
                  <a:srgbClr val="FFFFFF"/>
                </a:solidFill>
              </a:ln>
            </c:spPr>
            <c:extLst>
              <c:ext xmlns:c16="http://schemas.microsoft.com/office/drawing/2014/chart" uri="{C3380CC4-5D6E-409C-BE32-E72D297353CC}">
                <c16:uniqueId val="{00000007-A387-4FF6-91CD-327D766BB2B3}"/>
              </c:ext>
            </c:extLst>
          </c:dPt>
          <c:dPt>
            <c:idx val="4"/>
            <c:bubble3D val="0"/>
            <c:spPr>
              <a:solidFill>
                <a:srgbClr val="0F9AA9"/>
              </a:solidFill>
              <a:ln>
                <a:solidFill>
                  <a:srgbClr val="FFFFFF"/>
                </a:solidFill>
              </a:ln>
            </c:spPr>
            <c:extLst>
              <c:ext xmlns:c16="http://schemas.microsoft.com/office/drawing/2014/chart" uri="{C3380CC4-5D6E-409C-BE32-E72D297353CC}">
                <c16:uniqueId val="{00000009-A387-4FF6-91CD-327D766BB2B3}"/>
              </c:ext>
            </c:extLst>
          </c:dPt>
          <c:dPt>
            <c:idx val="5"/>
            <c:bubble3D val="0"/>
            <c:spPr>
              <a:solidFill>
                <a:srgbClr val="55585A"/>
              </a:solidFill>
              <a:ln>
                <a:solidFill>
                  <a:srgbClr val="FFFFFF"/>
                </a:solidFill>
              </a:ln>
            </c:spPr>
            <c:extLst>
              <c:ext xmlns:c16="http://schemas.microsoft.com/office/drawing/2014/chart" uri="{C3380CC4-5D6E-409C-BE32-E72D297353CC}">
                <c16:uniqueId val="{0000000B-A387-4FF6-91CD-327D766BB2B3}"/>
              </c:ext>
            </c:extLst>
          </c:dPt>
          <c:cat>
            <c:strRef>
              <c:f>'South West beamers o250kW'!$B$78:$B$83</c:f>
              <c:strCache>
                <c:ptCount val="6"/>
                <c:pt idx="0">
                  <c:v>Cuttlefish - 18.6%</c:v>
                </c:pt>
                <c:pt idx="1">
                  <c:v>Anglerfish - 17.7%</c:v>
                </c:pt>
                <c:pt idx="2">
                  <c:v>Sole - 11.5%</c:v>
                </c:pt>
                <c:pt idx="3">
                  <c:v>Plaice - 7.7%</c:v>
                </c:pt>
                <c:pt idx="4">
                  <c:v>Gurnard - 6.8%</c:v>
                </c:pt>
                <c:pt idx="5">
                  <c:v>Others - 37.7%</c:v>
                </c:pt>
              </c:strCache>
            </c:strRef>
          </c:cat>
          <c:val>
            <c:numRef>
              <c:f>'South West beamers o250kW'!$C$78:$C$83</c:f>
              <c:numCache>
                <c:formatCode>0.0%</c:formatCode>
                <c:ptCount val="6"/>
                <c:pt idx="0">
                  <c:v>0.18611775052620283</c:v>
                </c:pt>
                <c:pt idx="1">
                  <c:v>0.17681341950708612</c:v>
                </c:pt>
                <c:pt idx="2">
                  <c:v>0.11544365514122634</c:v>
                </c:pt>
                <c:pt idx="3">
                  <c:v>7.688377898676145E-2</c:v>
                </c:pt>
                <c:pt idx="4">
                  <c:v>6.7592635811807314E-2</c:v>
                </c:pt>
                <c:pt idx="5">
                  <c:v>0.377148760026916</c:v>
                </c:pt>
              </c:numCache>
            </c:numRef>
          </c:val>
          <c:extLst>
            <c:ext xmlns:c16="http://schemas.microsoft.com/office/drawing/2014/chart" uri="{C3380CC4-5D6E-409C-BE32-E72D297353CC}">
              <c16:uniqueId val="{0000000C-A387-4FF6-91CD-327D766BB2B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o250kW'!$F$77</c:f>
          <c:strCache>
            <c:ptCount val="1"/>
            <c:pt idx="0">
              <c:v>Top 5 landed species by value in 2021
South West beamers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9DB-47F2-81D7-71C1DCDCE48D}"/>
              </c:ext>
            </c:extLst>
          </c:dPt>
          <c:dPt>
            <c:idx val="1"/>
            <c:bubble3D val="0"/>
            <c:spPr>
              <a:solidFill>
                <a:srgbClr val="E87308"/>
              </a:solidFill>
              <a:ln>
                <a:solidFill>
                  <a:srgbClr val="FFFFFF"/>
                </a:solidFill>
              </a:ln>
            </c:spPr>
            <c:extLst>
              <c:ext xmlns:c16="http://schemas.microsoft.com/office/drawing/2014/chart" uri="{C3380CC4-5D6E-409C-BE32-E72D297353CC}">
                <c16:uniqueId val="{00000003-19DB-47F2-81D7-71C1DCDCE48D}"/>
              </c:ext>
            </c:extLst>
          </c:dPt>
          <c:dPt>
            <c:idx val="2"/>
            <c:bubble3D val="0"/>
            <c:spPr>
              <a:solidFill>
                <a:srgbClr val="648C2E"/>
              </a:solidFill>
              <a:ln>
                <a:solidFill>
                  <a:srgbClr val="FFFFFF"/>
                </a:solidFill>
              </a:ln>
            </c:spPr>
            <c:extLst>
              <c:ext xmlns:c16="http://schemas.microsoft.com/office/drawing/2014/chart" uri="{C3380CC4-5D6E-409C-BE32-E72D297353CC}">
                <c16:uniqueId val="{00000005-19DB-47F2-81D7-71C1DCDCE48D}"/>
              </c:ext>
            </c:extLst>
          </c:dPt>
          <c:dPt>
            <c:idx val="3"/>
            <c:bubble3D val="0"/>
            <c:spPr>
              <a:solidFill>
                <a:srgbClr val="C1D119"/>
              </a:solidFill>
              <a:ln>
                <a:solidFill>
                  <a:srgbClr val="FFFFFF"/>
                </a:solidFill>
              </a:ln>
            </c:spPr>
            <c:extLst>
              <c:ext xmlns:c16="http://schemas.microsoft.com/office/drawing/2014/chart" uri="{C3380CC4-5D6E-409C-BE32-E72D297353CC}">
                <c16:uniqueId val="{00000007-19DB-47F2-81D7-71C1DCDCE48D}"/>
              </c:ext>
            </c:extLst>
          </c:dPt>
          <c:dPt>
            <c:idx val="4"/>
            <c:bubble3D val="0"/>
            <c:spPr>
              <a:solidFill>
                <a:srgbClr val="E84A38"/>
              </a:solidFill>
              <a:ln>
                <a:solidFill>
                  <a:srgbClr val="FFFFFF"/>
                </a:solidFill>
              </a:ln>
            </c:spPr>
            <c:extLst>
              <c:ext xmlns:c16="http://schemas.microsoft.com/office/drawing/2014/chart" uri="{C3380CC4-5D6E-409C-BE32-E72D297353CC}">
                <c16:uniqueId val="{00000009-19DB-47F2-81D7-71C1DCDCE48D}"/>
              </c:ext>
            </c:extLst>
          </c:dPt>
          <c:dPt>
            <c:idx val="5"/>
            <c:bubble3D val="0"/>
            <c:spPr>
              <a:solidFill>
                <a:srgbClr val="55585A"/>
              </a:solidFill>
              <a:ln>
                <a:solidFill>
                  <a:srgbClr val="FFFFFF"/>
                </a:solidFill>
              </a:ln>
            </c:spPr>
            <c:extLst>
              <c:ext xmlns:c16="http://schemas.microsoft.com/office/drawing/2014/chart" uri="{C3380CC4-5D6E-409C-BE32-E72D297353CC}">
                <c16:uniqueId val="{0000000B-19DB-47F2-81D7-71C1DCDCE48D}"/>
              </c:ext>
            </c:extLst>
          </c:dPt>
          <c:cat>
            <c:strRef>
              <c:f>'South West beamers o250kW'!$G$78:$G$83</c:f>
              <c:strCache>
                <c:ptCount val="6"/>
                <c:pt idx="0">
                  <c:v>Sole - 35.0%</c:v>
                </c:pt>
                <c:pt idx="1">
                  <c:v>Anglerfish - 14.7%</c:v>
                </c:pt>
                <c:pt idx="2">
                  <c:v>Cuttlefish - 13.9%</c:v>
                </c:pt>
                <c:pt idx="3">
                  <c:v>Turbot - 6.7%</c:v>
                </c:pt>
                <c:pt idx="4">
                  <c:v>Plaice - 5.1%</c:v>
                </c:pt>
                <c:pt idx="5">
                  <c:v>Others - 24.6%</c:v>
                </c:pt>
              </c:strCache>
            </c:strRef>
          </c:cat>
          <c:val>
            <c:numRef>
              <c:f>'South West beamers o250kW'!$H$78:$H$83</c:f>
              <c:numCache>
                <c:formatCode>0.0%</c:formatCode>
                <c:ptCount val="6"/>
                <c:pt idx="0">
                  <c:v>0.35018176063555889</c:v>
                </c:pt>
                <c:pt idx="1">
                  <c:v>0.14666282426107849</c:v>
                </c:pt>
                <c:pt idx="2">
                  <c:v>0.13895871452516245</c:v>
                </c:pt>
                <c:pt idx="3">
                  <c:v>6.6534646609365838E-2</c:v>
                </c:pt>
                <c:pt idx="4">
                  <c:v>5.1484024012479222E-2</c:v>
                </c:pt>
                <c:pt idx="5">
                  <c:v>0.24617802995635507</c:v>
                </c:pt>
              </c:numCache>
            </c:numRef>
          </c:val>
          <c:extLst>
            <c:ext xmlns:c16="http://schemas.microsoft.com/office/drawing/2014/chart" uri="{C3380CC4-5D6E-409C-BE32-E72D297353CC}">
              <c16:uniqueId val="{0000000C-19DB-47F2-81D7-71C1DCDCE48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o250kW'!$C$93</c:f>
              <c:strCache>
                <c:ptCount val="1"/>
                <c:pt idx="0">
                  <c:v>Sole</c:v>
                </c:pt>
              </c:strCache>
            </c:strRef>
          </c:tx>
          <c:spPr>
            <a:solidFill>
              <a:srgbClr val="2273B9"/>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o250kW'!$D$93:$M$93</c:f>
              <c:numCache>
                <c:formatCode>0%</c:formatCode>
                <c:ptCount val="10"/>
                <c:pt idx="0">
                  <c:v>0.17523785755694227</c:v>
                </c:pt>
                <c:pt idx="1">
                  <c:v>0.17149999564235588</c:v>
                </c:pt>
                <c:pt idx="2">
                  <c:v>0.1529604113862818</c:v>
                </c:pt>
                <c:pt idx="3">
                  <c:v>0.1895820423173083</c:v>
                </c:pt>
                <c:pt idx="4">
                  <c:v>0.16617418925619706</c:v>
                </c:pt>
                <c:pt idx="5">
                  <c:v>0.19937490722779741</c:v>
                </c:pt>
                <c:pt idx="6">
                  <c:v>0.27884074077238646</c:v>
                </c:pt>
                <c:pt idx="7">
                  <c:v>0.31759612364926504</c:v>
                </c:pt>
                <c:pt idx="8">
                  <c:v>0.35018176063555889</c:v>
                </c:pt>
                <c:pt idx="9">
                  <c:v>0.34671320501935765</c:v>
                </c:pt>
              </c:numCache>
            </c:numRef>
          </c:val>
          <c:extLst>
            <c:ext xmlns:c16="http://schemas.microsoft.com/office/drawing/2014/chart" uri="{C3380CC4-5D6E-409C-BE32-E72D297353CC}">
              <c16:uniqueId val="{00000000-6261-4908-AA69-26BD8C7B7941}"/>
            </c:ext>
          </c:extLst>
        </c:ser>
        <c:ser>
          <c:idx val="1"/>
          <c:order val="1"/>
          <c:tx>
            <c:strRef>
              <c:f>'South West beamers o250kW'!$C$94</c:f>
              <c:strCache>
                <c:ptCount val="1"/>
                <c:pt idx="0">
                  <c:v>Anglerfish</c:v>
                </c:pt>
              </c:strCache>
            </c:strRef>
          </c:tx>
          <c:spPr>
            <a:solidFill>
              <a:srgbClr val="E87308"/>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o250kW'!$D$94:$M$94</c:f>
              <c:numCache>
                <c:formatCode>0%</c:formatCode>
                <c:ptCount val="10"/>
                <c:pt idx="0">
                  <c:v>0.28544618880128109</c:v>
                </c:pt>
                <c:pt idx="1">
                  <c:v>0.27769541338015363</c:v>
                </c:pt>
                <c:pt idx="2">
                  <c:v>0.2339463935669272</c:v>
                </c:pt>
                <c:pt idx="3">
                  <c:v>0.22865896346661752</c:v>
                </c:pt>
                <c:pt idx="4">
                  <c:v>0.14712114641186702</c:v>
                </c:pt>
                <c:pt idx="5">
                  <c:v>0.12296730930595905</c:v>
                </c:pt>
                <c:pt idx="6">
                  <c:v>0.13672487046849305</c:v>
                </c:pt>
                <c:pt idx="7">
                  <c:v>0.15896801321788767</c:v>
                </c:pt>
                <c:pt idx="8">
                  <c:v>0.14666282426107849</c:v>
                </c:pt>
                <c:pt idx="9">
                  <c:v>0.12093682733070531</c:v>
                </c:pt>
              </c:numCache>
            </c:numRef>
          </c:val>
          <c:extLst>
            <c:ext xmlns:c16="http://schemas.microsoft.com/office/drawing/2014/chart" uri="{C3380CC4-5D6E-409C-BE32-E72D297353CC}">
              <c16:uniqueId val="{00000001-6261-4908-AA69-26BD8C7B7941}"/>
            </c:ext>
          </c:extLst>
        </c:ser>
        <c:ser>
          <c:idx val="2"/>
          <c:order val="2"/>
          <c:tx>
            <c:strRef>
              <c:f>'South West beamers o250kW'!$C$95</c:f>
              <c:strCache>
                <c:ptCount val="1"/>
                <c:pt idx="0">
                  <c:v>Cuttlefish</c:v>
                </c:pt>
              </c:strCache>
            </c:strRef>
          </c:tx>
          <c:spPr>
            <a:solidFill>
              <a:srgbClr val="648C2E"/>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o250kW'!$D$95:$M$95</c:f>
              <c:numCache>
                <c:formatCode>0%</c:formatCode>
                <c:ptCount val="10"/>
                <c:pt idx="0">
                  <c:v>0.14044372285931914</c:v>
                </c:pt>
                <c:pt idx="1">
                  <c:v>0.12026512423791083</c:v>
                </c:pt>
                <c:pt idx="2">
                  <c:v>0.19761453663319356</c:v>
                </c:pt>
                <c:pt idx="3">
                  <c:v>0.2071716059830403</c:v>
                </c:pt>
                <c:pt idx="4">
                  <c:v>0.34408479176284607</c:v>
                </c:pt>
                <c:pt idx="5">
                  <c:v>0.30844676890742695</c:v>
                </c:pt>
                <c:pt idx="6">
                  <c:v>0.2204746433581157</c:v>
                </c:pt>
                <c:pt idx="7">
                  <c:v>0.17956662071530652</c:v>
                </c:pt>
                <c:pt idx="8">
                  <c:v>0.13895871452516245</c:v>
                </c:pt>
                <c:pt idx="9">
                  <c:v>0.20851089341122758</c:v>
                </c:pt>
              </c:numCache>
            </c:numRef>
          </c:val>
          <c:extLst>
            <c:ext xmlns:c16="http://schemas.microsoft.com/office/drawing/2014/chart" uri="{C3380CC4-5D6E-409C-BE32-E72D297353CC}">
              <c16:uniqueId val="{00000002-6261-4908-AA69-26BD8C7B7941}"/>
            </c:ext>
          </c:extLst>
        </c:ser>
        <c:ser>
          <c:idx val="3"/>
          <c:order val="3"/>
          <c:tx>
            <c:strRef>
              <c:f>'South West beamers o250kW'!$C$96</c:f>
              <c:strCache>
                <c:ptCount val="1"/>
                <c:pt idx="0">
                  <c:v>Turbot</c:v>
                </c:pt>
              </c:strCache>
            </c:strRef>
          </c:tx>
          <c:spPr>
            <a:solidFill>
              <a:srgbClr val="C1D119"/>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o250kW'!$D$96:$M$96</c:f>
              <c:numCache>
                <c:formatCode>0%</c:formatCode>
                <c:ptCount val="10"/>
                <c:pt idx="3">
                  <c:v>4.6524590298729143E-2</c:v>
                </c:pt>
                <c:pt idx="5">
                  <c:v>5.3408680769836292E-2</c:v>
                </c:pt>
                <c:pt idx="6">
                  <c:v>6.1038387538084819E-2</c:v>
                </c:pt>
                <c:pt idx="7">
                  <c:v>6.5862045777084169E-2</c:v>
                </c:pt>
                <c:pt idx="8">
                  <c:v>6.6534646609365838E-2</c:v>
                </c:pt>
                <c:pt idx="9">
                  <c:v>6.1590053237054972E-2</c:v>
                </c:pt>
              </c:numCache>
            </c:numRef>
          </c:val>
          <c:extLst>
            <c:ext xmlns:c16="http://schemas.microsoft.com/office/drawing/2014/chart" uri="{C3380CC4-5D6E-409C-BE32-E72D297353CC}">
              <c16:uniqueId val="{00000003-6261-4908-AA69-26BD8C7B7941}"/>
            </c:ext>
          </c:extLst>
        </c:ser>
        <c:ser>
          <c:idx val="4"/>
          <c:order val="4"/>
          <c:tx>
            <c:strRef>
              <c:f>'South West beamers o250kW'!$C$97</c:f>
              <c:strCache>
                <c:ptCount val="1"/>
                <c:pt idx="0">
                  <c:v>Plaice</c:v>
                </c:pt>
              </c:strCache>
            </c:strRef>
          </c:tx>
          <c:spPr>
            <a:solidFill>
              <a:srgbClr val="E84A38"/>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o250kW'!$D$97:$M$97</c:f>
              <c:numCache>
                <c:formatCode>0%</c:formatCode>
                <c:ptCount val="10"/>
                <c:pt idx="6">
                  <c:v>5.6490210031354529E-2</c:v>
                </c:pt>
                <c:pt idx="7">
                  <c:v>5.4499449285460813E-2</c:v>
                </c:pt>
                <c:pt idx="8">
                  <c:v>5.1484024012479222E-2</c:v>
                </c:pt>
                <c:pt idx="9">
                  <c:v>3.9876383691756785E-2</c:v>
                </c:pt>
              </c:numCache>
            </c:numRef>
          </c:val>
          <c:extLst>
            <c:ext xmlns:c16="http://schemas.microsoft.com/office/drawing/2014/chart" uri="{C3380CC4-5D6E-409C-BE32-E72D297353CC}">
              <c16:uniqueId val="{00000004-6261-4908-AA69-26BD8C7B7941}"/>
            </c:ext>
          </c:extLst>
        </c:ser>
        <c:ser>
          <c:idx val="5"/>
          <c:order val="5"/>
          <c:tx>
            <c:strRef>
              <c:f>'South West beamers o250kW'!$C$98</c:f>
              <c:strCache>
                <c:ptCount val="1"/>
                <c:pt idx="0">
                  <c:v>Scallops</c:v>
                </c:pt>
              </c:strCache>
            </c:strRef>
          </c:tx>
          <c:spPr>
            <a:solidFill>
              <a:srgbClr val="0F9AA9"/>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o250kW'!$D$98:$M$98</c:f>
              <c:numCache>
                <c:formatCode>0%</c:formatCode>
                <c:ptCount val="10"/>
                <c:pt idx="2">
                  <c:v>6.4679750568691893E-2</c:v>
                </c:pt>
                <c:pt idx="4">
                  <c:v>6.0031905331486689E-2</c:v>
                </c:pt>
                <c:pt idx="5">
                  <c:v>6.6029854225385556E-2</c:v>
                </c:pt>
              </c:numCache>
            </c:numRef>
          </c:val>
          <c:extLst>
            <c:ext xmlns:c16="http://schemas.microsoft.com/office/drawing/2014/chart" uri="{C3380CC4-5D6E-409C-BE32-E72D297353CC}">
              <c16:uniqueId val="{00000005-6261-4908-AA69-26BD8C7B7941}"/>
            </c:ext>
          </c:extLst>
        </c:ser>
        <c:ser>
          <c:idx val="6"/>
          <c:order val="6"/>
          <c:tx>
            <c:strRef>
              <c:f>'South West beamers o250kW'!$C$99</c:f>
              <c:strCache>
                <c:ptCount val="1"/>
                <c:pt idx="0">
                  <c:v>Megrim</c:v>
                </c:pt>
              </c:strCache>
            </c:strRef>
          </c:tx>
          <c:spPr>
            <a:solidFill>
              <a:srgbClr val="FED825"/>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o250kW'!$D$99:$M$99</c:f>
              <c:numCache>
                <c:formatCode>0%</c:formatCode>
                <c:ptCount val="10"/>
                <c:pt idx="0">
                  <c:v>0.11600299775354173</c:v>
                </c:pt>
                <c:pt idx="1">
                  <c:v>0.12993787550520974</c:v>
                </c:pt>
                <c:pt idx="2">
                  <c:v>0.11720822020461284</c:v>
                </c:pt>
                <c:pt idx="3">
                  <c:v>9.0706798971120051E-2</c:v>
                </c:pt>
                <c:pt idx="4">
                  <c:v>5.8168118489917292E-2</c:v>
                </c:pt>
              </c:numCache>
            </c:numRef>
          </c:val>
          <c:extLst>
            <c:ext xmlns:c16="http://schemas.microsoft.com/office/drawing/2014/chart" uri="{C3380CC4-5D6E-409C-BE32-E72D297353CC}">
              <c16:uniqueId val="{00000006-6261-4908-AA69-26BD8C7B7941}"/>
            </c:ext>
          </c:extLst>
        </c:ser>
        <c:ser>
          <c:idx val="7"/>
          <c:order val="7"/>
          <c:tx>
            <c:strRef>
              <c:f>'South West beamers o250kW'!$C$100</c:f>
              <c:strCache>
                <c:ptCount val="1"/>
                <c:pt idx="0">
                  <c:v>Lemon Sole</c:v>
                </c:pt>
              </c:strCache>
            </c:strRef>
          </c:tx>
          <c:spPr>
            <a:solidFill>
              <a:srgbClr val="707271"/>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o250kW'!$D$100:$M$100</c:f>
              <c:numCache>
                <c:formatCode>0%</c:formatCode>
                <c:ptCount val="10"/>
                <c:pt idx="0">
                  <c:v>4.4009534356624976E-2</c:v>
                </c:pt>
                <c:pt idx="1">
                  <c:v>5.1733637009427139E-2</c:v>
                </c:pt>
              </c:numCache>
            </c:numRef>
          </c:val>
          <c:extLst>
            <c:ext xmlns:c16="http://schemas.microsoft.com/office/drawing/2014/chart" uri="{C3380CC4-5D6E-409C-BE32-E72D297353CC}">
              <c16:uniqueId val="{00000007-6261-4908-AA69-26BD8C7B7941}"/>
            </c:ext>
          </c:extLst>
        </c:ser>
        <c:ser>
          <c:idx val="8"/>
          <c:order val="8"/>
          <c:tx>
            <c:strRef>
              <c:f>'South West beamers o250kW'!$C$101</c:f>
              <c:strCache>
                <c:ptCount val="1"/>
                <c:pt idx="0">
                  <c:v>Others</c:v>
                </c:pt>
              </c:strCache>
            </c:strRef>
          </c:tx>
          <c:spPr>
            <a:solidFill>
              <a:srgbClr val="55585A"/>
            </a:solidFill>
            <a:ln>
              <a:solidFill>
                <a:srgbClr val="FFFFFF"/>
              </a:solidFill>
            </a:ln>
          </c:spPr>
          <c:invertIfNegative val="0"/>
          <c:cat>
            <c:numRef>
              <c:f>'South West beamers o250kW'!$D$92:$M$92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o250kW'!$D$101:$M$101</c:f>
              <c:numCache>
                <c:formatCode>0%</c:formatCode>
                <c:ptCount val="10"/>
                <c:pt idx="0">
                  <c:v>0.23885969867229079</c:v>
                </c:pt>
                <c:pt idx="1">
                  <c:v>0.24886795422494276</c:v>
                </c:pt>
                <c:pt idx="2">
                  <c:v>0.23359068764029273</c:v>
                </c:pt>
                <c:pt idx="3">
                  <c:v>0.23735599896318471</c:v>
                </c:pt>
                <c:pt idx="4">
                  <c:v>0.22441984874768586</c:v>
                </c:pt>
                <c:pt idx="5">
                  <c:v>0.24977247956359475</c:v>
                </c:pt>
                <c:pt idx="6">
                  <c:v>0.24643114783156544</c:v>
                </c:pt>
                <c:pt idx="7">
                  <c:v>0.22350774735499582</c:v>
                </c:pt>
                <c:pt idx="8">
                  <c:v>0.24617802995635507</c:v>
                </c:pt>
                <c:pt idx="9">
                  <c:v>0.22237263730989773</c:v>
                </c:pt>
              </c:numCache>
            </c:numRef>
          </c:val>
          <c:extLst>
            <c:ext xmlns:c16="http://schemas.microsoft.com/office/drawing/2014/chart" uri="{C3380CC4-5D6E-409C-BE32-E72D297353CC}">
              <c16:uniqueId val="{00000008-6261-4908-AA69-26BD8C7B794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u250kW'!$A$49</c:f>
          <c:strCache>
            <c:ptCount val="1"/>
            <c:pt idx="0">
              <c:v>Landings per kW day at sea (kg)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2FE1-449C-BFC0-D71C13E4292D}"/>
              </c:ext>
            </c:extLst>
          </c:dPt>
          <c:dPt>
            <c:idx val="10"/>
            <c:bubble3D val="0"/>
            <c:spPr>
              <a:ln w="57150">
                <a:solidFill>
                  <a:srgbClr val="2273B9"/>
                </a:solidFill>
                <a:prstDash val="sysDot"/>
              </a:ln>
            </c:spPr>
            <c:extLst>
              <c:ext xmlns:c16="http://schemas.microsoft.com/office/drawing/2014/chart" uri="{C3380CC4-5D6E-409C-BE32-E72D297353CC}">
                <c16:uniqueId val="{00000003-2FE1-449C-BFC0-D71C13E4292D}"/>
              </c:ext>
            </c:extLst>
          </c:dPt>
          <c:cat>
            <c:numRef>
              <c:f>'Area VIIa nephrops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u250kW'!$D$22:$N$22</c:f>
              <c:numCache>
                <c:formatCode>#,##0.00</c:formatCode>
                <c:ptCount val="11"/>
                <c:pt idx="0">
                  <c:v>3.3961332581277488</c:v>
                </c:pt>
                <c:pt idx="1">
                  <c:v>3.173493963976195</c:v>
                </c:pt>
                <c:pt idx="2">
                  <c:v>2.7335049176467137</c:v>
                </c:pt>
                <c:pt idx="3">
                  <c:v>3.4210155616052056</c:v>
                </c:pt>
                <c:pt idx="4">
                  <c:v>3.3469167829681528</c:v>
                </c:pt>
                <c:pt idx="5">
                  <c:v>3.3745445999766814</c:v>
                </c:pt>
                <c:pt idx="6">
                  <c:v>3.0978682595323872</c:v>
                </c:pt>
                <c:pt idx="7">
                  <c:v>3.4496068397965258</c:v>
                </c:pt>
                <c:pt idx="8">
                  <c:v>3.866923438686745</c:v>
                </c:pt>
                <c:pt idx="9">
                  <c:v>3.6132223505791354</c:v>
                </c:pt>
                <c:pt idx="10">
                  <c:v>3.6807541701678952</c:v>
                </c:pt>
              </c:numCache>
            </c:numRef>
          </c:val>
          <c:smooth val="0"/>
          <c:extLst>
            <c:ext xmlns:c16="http://schemas.microsoft.com/office/drawing/2014/chart" uri="{C3380CC4-5D6E-409C-BE32-E72D297353CC}">
              <c16:uniqueId val="{00000004-2FE1-449C-BFC0-D71C13E4292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o250kW'!$B$163</c:f>
              <c:strCache>
                <c:ptCount val="1"/>
                <c:pt idx="0">
                  <c:v>Cuttlefish</c:v>
                </c:pt>
              </c:strCache>
            </c:strRef>
          </c:tx>
          <c:spPr>
            <a:solidFill>
              <a:srgbClr val="648C2E"/>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o250kW'!$C$163:$E$163</c:f>
              <c:numCache>
                <c:formatCode>0%</c:formatCode>
                <c:ptCount val="3"/>
                <c:pt idx="0">
                  <c:v>0.18428159612790523</c:v>
                </c:pt>
                <c:pt idx="1">
                  <c:v>0.22351083703442495</c:v>
                </c:pt>
                <c:pt idx="2">
                  <c:v>0.17901576707241179</c:v>
                </c:pt>
              </c:numCache>
            </c:numRef>
          </c:val>
          <c:extLst>
            <c:ext xmlns:c16="http://schemas.microsoft.com/office/drawing/2014/chart" uri="{C3380CC4-5D6E-409C-BE32-E72D297353CC}">
              <c16:uniqueId val="{00000000-4E7E-4690-B893-61CC572DC083}"/>
            </c:ext>
          </c:extLst>
        </c:ser>
        <c:ser>
          <c:idx val="1"/>
          <c:order val="1"/>
          <c:tx>
            <c:strRef>
              <c:f>'South West beamers o250kW'!$B$164</c:f>
              <c:strCache>
                <c:ptCount val="1"/>
                <c:pt idx="0">
                  <c:v>Anglerfish</c:v>
                </c:pt>
              </c:strCache>
            </c:strRef>
          </c:tx>
          <c:spPr>
            <a:solidFill>
              <a:srgbClr val="E87308"/>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o250kW'!$C$164:$E$164</c:f>
              <c:numCache>
                <c:formatCode>0%</c:formatCode>
                <c:ptCount val="3"/>
                <c:pt idx="0">
                  <c:v>0.12913610413865265</c:v>
                </c:pt>
                <c:pt idx="1">
                  <c:v>0.2124622269299232</c:v>
                </c:pt>
                <c:pt idx="2">
                  <c:v>0.23790426501881481</c:v>
                </c:pt>
              </c:numCache>
            </c:numRef>
          </c:val>
          <c:extLst>
            <c:ext xmlns:c16="http://schemas.microsoft.com/office/drawing/2014/chart" uri="{C3380CC4-5D6E-409C-BE32-E72D297353CC}">
              <c16:uniqueId val="{00000001-4E7E-4690-B893-61CC572DC083}"/>
            </c:ext>
          </c:extLst>
        </c:ser>
        <c:ser>
          <c:idx val="2"/>
          <c:order val="2"/>
          <c:tx>
            <c:strRef>
              <c:f>'South West beamers o250kW'!$B$165</c:f>
              <c:strCache>
                <c:ptCount val="1"/>
                <c:pt idx="0">
                  <c:v>Sole</c:v>
                </c:pt>
              </c:strCache>
            </c:strRef>
          </c:tx>
          <c:spPr>
            <a:solidFill>
              <a:srgbClr val="2273B9"/>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o250kW'!$C$165:$E$165</c:f>
              <c:numCache>
                <c:formatCode>0%</c:formatCode>
                <c:ptCount val="3"/>
                <c:pt idx="0">
                  <c:v>0.14306822199988972</c:v>
                </c:pt>
                <c:pt idx="1">
                  <c:v>0.13150761313892606</c:v>
                </c:pt>
                <c:pt idx="2">
                  <c:v>8.2949331465820758E-2</c:v>
                </c:pt>
              </c:numCache>
            </c:numRef>
          </c:val>
          <c:extLst>
            <c:ext xmlns:c16="http://schemas.microsoft.com/office/drawing/2014/chart" uri="{C3380CC4-5D6E-409C-BE32-E72D297353CC}">
              <c16:uniqueId val="{00000002-4E7E-4690-B893-61CC572DC083}"/>
            </c:ext>
          </c:extLst>
        </c:ser>
        <c:ser>
          <c:idx val="3"/>
          <c:order val="3"/>
          <c:tx>
            <c:strRef>
              <c:f>'South West beamers o250kW'!$B$166</c:f>
              <c:strCache>
                <c:ptCount val="1"/>
                <c:pt idx="0">
                  <c:v>Plaice</c:v>
                </c:pt>
              </c:strCache>
            </c:strRef>
          </c:tx>
          <c:spPr>
            <a:solidFill>
              <a:srgbClr val="E84A38"/>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o250kW'!$C$166:$E$166</c:f>
              <c:numCache>
                <c:formatCode>0%</c:formatCode>
                <c:ptCount val="3"/>
                <c:pt idx="0">
                  <c:v>7.8126389556956888E-2</c:v>
                </c:pt>
                <c:pt idx="1">
                  <c:v>9.9254779629929471E-2</c:v>
                </c:pt>
                <c:pt idx="2">
                  <c:v>0</c:v>
                </c:pt>
              </c:numCache>
            </c:numRef>
          </c:val>
          <c:extLst>
            <c:ext xmlns:c16="http://schemas.microsoft.com/office/drawing/2014/chart" uri="{C3380CC4-5D6E-409C-BE32-E72D297353CC}">
              <c16:uniqueId val="{00000003-4E7E-4690-B893-61CC572DC083}"/>
            </c:ext>
          </c:extLst>
        </c:ser>
        <c:ser>
          <c:idx val="4"/>
          <c:order val="4"/>
          <c:tx>
            <c:strRef>
              <c:f>'South West beamers o250kW'!$B$167</c:f>
              <c:strCache>
                <c:ptCount val="1"/>
                <c:pt idx="0">
                  <c:v>Gurnard</c:v>
                </c:pt>
              </c:strCache>
            </c:strRef>
          </c:tx>
          <c:spPr>
            <a:solidFill>
              <a:srgbClr val="0F9AA9"/>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o250kW'!$C$167:$E$167</c:f>
              <c:numCache>
                <c:formatCode>0%</c:formatCode>
                <c:ptCount val="3"/>
                <c:pt idx="0">
                  <c:v>0</c:v>
                </c:pt>
                <c:pt idx="1">
                  <c:v>9.2495084829929047E-2</c:v>
                </c:pt>
                <c:pt idx="2">
                  <c:v>0</c:v>
                </c:pt>
              </c:numCache>
            </c:numRef>
          </c:val>
          <c:extLst>
            <c:ext xmlns:c16="http://schemas.microsoft.com/office/drawing/2014/chart" uri="{C3380CC4-5D6E-409C-BE32-E72D297353CC}">
              <c16:uniqueId val="{00000004-4E7E-4690-B893-61CC572DC083}"/>
            </c:ext>
          </c:extLst>
        </c:ser>
        <c:ser>
          <c:idx val="5"/>
          <c:order val="5"/>
          <c:tx>
            <c:strRef>
              <c:f>'South West beamers o250kW'!$B$168</c:f>
              <c:strCache>
                <c:ptCount val="1"/>
                <c:pt idx="0">
                  <c:v>Megrim</c:v>
                </c:pt>
              </c:strCache>
            </c:strRef>
          </c:tx>
          <c:spPr>
            <a:solidFill>
              <a:srgbClr val="FED825"/>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o250kW'!$C$168:$E$168</c:f>
              <c:numCache>
                <c:formatCode>0%</c:formatCode>
                <c:ptCount val="3"/>
                <c:pt idx="0">
                  <c:v>0</c:v>
                </c:pt>
                <c:pt idx="1">
                  <c:v>0</c:v>
                </c:pt>
                <c:pt idx="2">
                  <c:v>0.11044831115549503</c:v>
                </c:pt>
              </c:numCache>
            </c:numRef>
          </c:val>
          <c:extLst>
            <c:ext xmlns:c16="http://schemas.microsoft.com/office/drawing/2014/chart" uri="{C3380CC4-5D6E-409C-BE32-E72D297353CC}">
              <c16:uniqueId val="{00000005-4E7E-4690-B893-61CC572DC083}"/>
            </c:ext>
          </c:extLst>
        </c:ser>
        <c:ser>
          <c:idx val="6"/>
          <c:order val="6"/>
          <c:tx>
            <c:strRef>
              <c:f>'South West beamers o250kW'!$B$169</c:f>
              <c:strCache>
                <c:ptCount val="1"/>
                <c:pt idx="0">
                  <c:v>Scallops</c:v>
                </c:pt>
              </c:strCache>
            </c:strRef>
          </c:tx>
          <c:spPr>
            <a:solidFill>
              <a:srgbClr val="707271"/>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o250kW'!$C$169:$E$169</c:f>
              <c:numCache>
                <c:formatCode>0%</c:formatCode>
                <c:ptCount val="3"/>
                <c:pt idx="0">
                  <c:v>0.10415903914189899</c:v>
                </c:pt>
                <c:pt idx="1">
                  <c:v>0</c:v>
                </c:pt>
                <c:pt idx="2">
                  <c:v>6.7129491956196899E-2</c:v>
                </c:pt>
              </c:numCache>
            </c:numRef>
          </c:val>
          <c:extLst>
            <c:ext xmlns:c16="http://schemas.microsoft.com/office/drawing/2014/chart" uri="{C3380CC4-5D6E-409C-BE32-E72D297353CC}">
              <c16:uniqueId val="{00000006-4E7E-4690-B893-61CC572DC083}"/>
            </c:ext>
          </c:extLst>
        </c:ser>
        <c:ser>
          <c:idx val="7"/>
          <c:order val="7"/>
          <c:tx>
            <c:strRef>
              <c:f>'South West beamers o250kW'!$B$170</c:f>
              <c:strCache>
                <c:ptCount val="1"/>
                <c:pt idx="0">
                  <c:v>Others</c:v>
                </c:pt>
              </c:strCache>
            </c:strRef>
          </c:tx>
          <c:spPr>
            <a:solidFill>
              <a:srgbClr val="55585A"/>
            </a:solidFill>
            <a:ln>
              <a:solidFill>
                <a:srgbClr val="FFFFFF"/>
              </a:solidFill>
            </a:ln>
          </c:spPr>
          <c:invertIfNegative val="0"/>
          <c:cat>
            <c:strRef>
              <c:f>'South West beamers o250kW'!$C$162:$E$162</c:f>
              <c:strCache>
                <c:ptCount val="3"/>
                <c:pt idx="0">
                  <c:v>Most
profitable
quartile</c:v>
                </c:pt>
                <c:pt idx="1">
                  <c:v>Middle 
two quartiles</c:v>
                </c:pt>
                <c:pt idx="2">
                  <c:v>Least
profitable
quartile</c:v>
                </c:pt>
              </c:strCache>
            </c:strRef>
          </c:cat>
          <c:val>
            <c:numRef>
              <c:f>'South West beamers o250kW'!$C$170:$E$170</c:f>
              <c:numCache>
                <c:formatCode>0%</c:formatCode>
                <c:ptCount val="3"/>
                <c:pt idx="0">
                  <c:v>0.36122864903469654</c:v>
                </c:pt>
                <c:pt idx="1">
                  <c:v>0.24076945843686726</c:v>
                </c:pt>
                <c:pt idx="2">
                  <c:v>0.32255283333126072</c:v>
                </c:pt>
              </c:numCache>
            </c:numRef>
          </c:val>
          <c:extLst>
            <c:ext xmlns:c16="http://schemas.microsoft.com/office/drawing/2014/chart" uri="{C3380CC4-5D6E-409C-BE32-E72D297353CC}">
              <c16:uniqueId val="{00000007-4E7E-4690-B893-61CC572DC08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o250kW'!$H$163</c:f>
              <c:strCache>
                <c:ptCount val="1"/>
                <c:pt idx="0">
                  <c:v>Sole</c:v>
                </c:pt>
              </c:strCache>
            </c:strRef>
          </c:tx>
          <c:spPr>
            <a:solidFill>
              <a:srgbClr val="2273B9"/>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o250kW'!$I$163:$K$163</c:f>
              <c:numCache>
                <c:formatCode>0%</c:formatCode>
                <c:ptCount val="3"/>
                <c:pt idx="0">
                  <c:v>0.4024034961568464</c:v>
                </c:pt>
                <c:pt idx="1">
                  <c:v>0.37829387475503484</c:v>
                </c:pt>
                <c:pt idx="2">
                  <c:v>0.27945328877578041</c:v>
                </c:pt>
              </c:numCache>
            </c:numRef>
          </c:val>
          <c:extLst>
            <c:ext xmlns:c16="http://schemas.microsoft.com/office/drawing/2014/chart" uri="{C3380CC4-5D6E-409C-BE32-E72D297353CC}">
              <c16:uniqueId val="{00000000-2B8E-4679-A612-88BDB9F43C00}"/>
            </c:ext>
          </c:extLst>
        </c:ser>
        <c:ser>
          <c:idx val="1"/>
          <c:order val="1"/>
          <c:tx>
            <c:strRef>
              <c:f>'South West beamers o250kW'!$H$164</c:f>
              <c:strCache>
                <c:ptCount val="1"/>
                <c:pt idx="0">
                  <c:v>Anglerfish</c:v>
                </c:pt>
              </c:strCache>
            </c:strRef>
          </c:tx>
          <c:spPr>
            <a:solidFill>
              <a:srgbClr val="E87308"/>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o250kW'!$I$164:$K$164</c:f>
              <c:numCache>
                <c:formatCode>0%</c:formatCode>
                <c:ptCount val="3"/>
                <c:pt idx="0">
                  <c:v>0.10264850006994049</c:v>
                </c:pt>
                <c:pt idx="1">
                  <c:v>0.16585494419116067</c:v>
                </c:pt>
                <c:pt idx="2">
                  <c:v>0.20841408810067105</c:v>
                </c:pt>
              </c:numCache>
            </c:numRef>
          </c:val>
          <c:extLst>
            <c:ext xmlns:c16="http://schemas.microsoft.com/office/drawing/2014/chart" uri="{C3380CC4-5D6E-409C-BE32-E72D297353CC}">
              <c16:uniqueId val="{00000001-2B8E-4679-A612-88BDB9F43C00}"/>
            </c:ext>
          </c:extLst>
        </c:ser>
        <c:ser>
          <c:idx val="2"/>
          <c:order val="2"/>
          <c:tx>
            <c:strRef>
              <c:f>'South West beamers o250kW'!$H$165</c:f>
              <c:strCache>
                <c:ptCount val="1"/>
                <c:pt idx="0">
                  <c:v>Cuttlefish</c:v>
                </c:pt>
              </c:strCache>
            </c:strRef>
          </c:tx>
          <c:spPr>
            <a:solidFill>
              <a:srgbClr val="648C2E"/>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o250kW'!$I$165:$K$165</c:f>
              <c:numCache>
                <c:formatCode>0%</c:formatCode>
                <c:ptCount val="3"/>
                <c:pt idx="0">
                  <c:v>0.12999705209750012</c:v>
                </c:pt>
                <c:pt idx="1">
                  <c:v>0.15979526955901416</c:v>
                </c:pt>
                <c:pt idx="2">
                  <c:v>0.13714474490294987</c:v>
                </c:pt>
              </c:numCache>
            </c:numRef>
          </c:val>
          <c:extLst>
            <c:ext xmlns:c16="http://schemas.microsoft.com/office/drawing/2014/chart" uri="{C3380CC4-5D6E-409C-BE32-E72D297353CC}">
              <c16:uniqueId val="{00000002-2B8E-4679-A612-88BDB9F43C00}"/>
            </c:ext>
          </c:extLst>
        </c:ser>
        <c:ser>
          <c:idx val="3"/>
          <c:order val="3"/>
          <c:tx>
            <c:strRef>
              <c:f>'South West beamers o250kW'!$H$166</c:f>
              <c:strCache>
                <c:ptCount val="1"/>
                <c:pt idx="0">
                  <c:v>Turbot</c:v>
                </c:pt>
              </c:strCache>
            </c:strRef>
          </c:tx>
          <c:spPr>
            <a:solidFill>
              <a:srgbClr val="C1D119"/>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o250kW'!$I$166:$K$166</c:f>
              <c:numCache>
                <c:formatCode>0%</c:formatCode>
                <c:ptCount val="3"/>
                <c:pt idx="0">
                  <c:v>7.6967456100853177E-2</c:v>
                </c:pt>
                <c:pt idx="1">
                  <c:v>7.1215191625172938E-2</c:v>
                </c:pt>
                <c:pt idx="2">
                  <c:v>5.3807481873196492E-2</c:v>
                </c:pt>
              </c:numCache>
            </c:numRef>
          </c:val>
          <c:extLst>
            <c:ext xmlns:c16="http://schemas.microsoft.com/office/drawing/2014/chart" uri="{C3380CC4-5D6E-409C-BE32-E72D297353CC}">
              <c16:uniqueId val="{00000003-2B8E-4679-A612-88BDB9F43C00}"/>
            </c:ext>
          </c:extLst>
        </c:ser>
        <c:ser>
          <c:idx val="4"/>
          <c:order val="4"/>
          <c:tx>
            <c:strRef>
              <c:f>'South West beamers o250kW'!$H$167</c:f>
              <c:strCache>
                <c:ptCount val="1"/>
                <c:pt idx="0">
                  <c:v>Plaice</c:v>
                </c:pt>
              </c:strCache>
            </c:strRef>
          </c:tx>
          <c:spPr>
            <a:solidFill>
              <a:srgbClr val="E84A38"/>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o250kW'!$I$167:$K$167</c:f>
              <c:numCache>
                <c:formatCode>0%</c:formatCode>
                <c:ptCount val="3"/>
                <c:pt idx="0">
                  <c:v>0</c:v>
                </c:pt>
                <c:pt idx="1">
                  <c:v>6.3123042879734262E-2</c:v>
                </c:pt>
                <c:pt idx="2">
                  <c:v>0</c:v>
                </c:pt>
              </c:numCache>
            </c:numRef>
          </c:val>
          <c:extLst>
            <c:ext xmlns:c16="http://schemas.microsoft.com/office/drawing/2014/chart" uri="{C3380CC4-5D6E-409C-BE32-E72D297353CC}">
              <c16:uniqueId val="{00000004-2B8E-4679-A612-88BDB9F43C00}"/>
            </c:ext>
          </c:extLst>
        </c:ser>
        <c:ser>
          <c:idx val="5"/>
          <c:order val="5"/>
          <c:tx>
            <c:strRef>
              <c:f>'South West beamers o250kW'!$H$168</c:f>
              <c:strCache>
                <c:ptCount val="1"/>
                <c:pt idx="0">
                  <c:v>Megrim</c:v>
                </c:pt>
              </c:strCache>
            </c:strRef>
          </c:tx>
          <c:spPr>
            <a:solidFill>
              <a:srgbClr val="FED825"/>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o250kW'!$I$168:$K$168</c:f>
              <c:numCache>
                <c:formatCode>0%</c:formatCode>
                <c:ptCount val="3"/>
                <c:pt idx="0">
                  <c:v>0</c:v>
                </c:pt>
                <c:pt idx="1">
                  <c:v>0</c:v>
                </c:pt>
                <c:pt idx="2">
                  <c:v>6.293878206263355E-2</c:v>
                </c:pt>
              </c:numCache>
            </c:numRef>
          </c:val>
          <c:extLst>
            <c:ext xmlns:c16="http://schemas.microsoft.com/office/drawing/2014/chart" uri="{C3380CC4-5D6E-409C-BE32-E72D297353CC}">
              <c16:uniqueId val="{00000005-2B8E-4679-A612-88BDB9F43C00}"/>
            </c:ext>
          </c:extLst>
        </c:ser>
        <c:ser>
          <c:idx val="6"/>
          <c:order val="6"/>
          <c:tx>
            <c:strRef>
              <c:f>'South West beamers o250kW'!$H$169</c:f>
              <c:strCache>
                <c:ptCount val="1"/>
                <c:pt idx="0">
                  <c:v>Brill</c:v>
                </c:pt>
              </c:strCache>
            </c:strRef>
          </c:tx>
          <c:spPr>
            <a:solidFill>
              <a:srgbClr val="51AA81"/>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o250kW'!$I$169:$K$169</c:f>
              <c:numCache>
                <c:formatCode>0%</c:formatCode>
                <c:ptCount val="3"/>
                <c:pt idx="0">
                  <c:v>5.9361312626097097E-2</c:v>
                </c:pt>
                <c:pt idx="1">
                  <c:v>0</c:v>
                </c:pt>
                <c:pt idx="2">
                  <c:v>0</c:v>
                </c:pt>
              </c:numCache>
            </c:numRef>
          </c:val>
          <c:extLst>
            <c:ext xmlns:c16="http://schemas.microsoft.com/office/drawing/2014/chart" uri="{C3380CC4-5D6E-409C-BE32-E72D297353CC}">
              <c16:uniqueId val="{00000006-2B8E-4679-A612-88BDB9F43C00}"/>
            </c:ext>
          </c:extLst>
        </c:ser>
        <c:ser>
          <c:idx val="7"/>
          <c:order val="7"/>
          <c:tx>
            <c:strRef>
              <c:f>'South West beamers o250kW'!$H$170</c:f>
              <c:strCache>
                <c:ptCount val="1"/>
                <c:pt idx="0">
                  <c:v>Others</c:v>
                </c:pt>
              </c:strCache>
            </c:strRef>
          </c:tx>
          <c:spPr>
            <a:solidFill>
              <a:srgbClr val="55585A"/>
            </a:solidFill>
            <a:ln>
              <a:solidFill>
                <a:srgbClr val="FFFFFF"/>
              </a:solidFill>
            </a:ln>
          </c:spPr>
          <c:invertIfNegative val="0"/>
          <c:cat>
            <c:strRef>
              <c:f>'South West beamers o250kW'!$I$162:$K$162</c:f>
              <c:strCache>
                <c:ptCount val="3"/>
                <c:pt idx="0">
                  <c:v>Most
profitable
quartile</c:v>
                </c:pt>
                <c:pt idx="1">
                  <c:v>Middle 
two quartiles</c:v>
                </c:pt>
                <c:pt idx="2">
                  <c:v>Least
profitable
quartile</c:v>
                </c:pt>
              </c:strCache>
            </c:strRef>
          </c:cat>
          <c:val>
            <c:numRef>
              <c:f>'South West beamers o250kW'!$I$170:$K$170</c:f>
              <c:numCache>
                <c:formatCode>0%</c:formatCode>
                <c:ptCount val="3"/>
                <c:pt idx="0">
                  <c:v>0.22862218294876258</c:v>
                </c:pt>
                <c:pt idx="1">
                  <c:v>0.16171767698988315</c:v>
                </c:pt>
                <c:pt idx="2">
                  <c:v>0.25824161428476855</c:v>
                </c:pt>
              </c:numCache>
            </c:numRef>
          </c:val>
          <c:extLst>
            <c:ext xmlns:c16="http://schemas.microsoft.com/office/drawing/2014/chart" uri="{C3380CC4-5D6E-409C-BE32-E72D297353CC}">
              <c16:uniqueId val="{00000007-2B8E-4679-A612-88BDB9F43C0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o250kW'!$K$140</c:f>
              <c:strCache>
                <c:ptCount val="1"/>
                <c:pt idx="0">
                  <c:v>Total income</c:v>
                </c:pt>
              </c:strCache>
            </c:strRef>
          </c:tx>
          <c:spPr>
            <a:solidFill>
              <a:srgbClr val="087CBB"/>
            </a:solidFill>
            <a:ln>
              <a:solidFill>
                <a:schemeClr val="accent1"/>
              </a:solidFill>
            </a:ln>
          </c:spPr>
          <c:invertIfNegative val="0"/>
          <c:cat>
            <c:strRef>
              <c:f>'South West beamers o250kW'!$L$139:$N$139</c:f>
              <c:strCache>
                <c:ptCount val="3"/>
                <c:pt idx="0">
                  <c:v>Most
profitable
quartile</c:v>
                </c:pt>
                <c:pt idx="1">
                  <c:v>Middle
two quartiles</c:v>
                </c:pt>
                <c:pt idx="2">
                  <c:v>Least
profitable
quartile</c:v>
                </c:pt>
              </c:strCache>
            </c:strRef>
          </c:cat>
          <c:val>
            <c:numRef>
              <c:f>'South West beamers o250kW'!$L$140:$N$140</c:f>
              <c:numCache>
                <c:formatCode>#,##0</c:formatCode>
                <c:ptCount val="3"/>
                <c:pt idx="0">
                  <c:v>1372.3409999999999</c:v>
                </c:pt>
                <c:pt idx="1">
                  <c:v>1175.6227159090899</c:v>
                </c:pt>
                <c:pt idx="2">
                  <c:v>830.82899999999995</c:v>
                </c:pt>
              </c:numCache>
            </c:numRef>
          </c:val>
          <c:extLst>
            <c:ext xmlns:c16="http://schemas.microsoft.com/office/drawing/2014/chart" uri="{C3380CC4-5D6E-409C-BE32-E72D297353CC}">
              <c16:uniqueId val="{00000000-73D7-441F-A07A-CFD27D9D0214}"/>
            </c:ext>
          </c:extLst>
        </c:ser>
        <c:ser>
          <c:idx val="1"/>
          <c:order val="1"/>
          <c:tx>
            <c:strRef>
              <c:f>'South West beamers o250kW'!$K$141</c:f>
              <c:strCache>
                <c:ptCount val="1"/>
                <c:pt idx="0">
                  <c:v>Operating costs</c:v>
                </c:pt>
              </c:strCache>
            </c:strRef>
          </c:tx>
          <c:spPr>
            <a:solidFill>
              <a:srgbClr val="E87308"/>
            </a:solidFill>
          </c:spPr>
          <c:invertIfNegative val="0"/>
          <c:cat>
            <c:strRef>
              <c:f>'South West beamers o250kW'!$L$139:$N$139</c:f>
              <c:strCache>
                <c:ptCount val="3"/>
                <c:pt idx="0">
                  <c:v>Most
profitable
quartile</c:v>
                </c:pt>
                <c:pt idx="1">
                  <c:v>Middle
two quartiles</c:v>
                </c:pt>
                <c:pt idx="2">
                  <c:v>Least
profitable
quartile</c:v>
                </c:pt>
              </c:strCache>
            </c:strRef>
          </c:cat>
          <c:val>
            <c:numRef>
              <c:f>'South West beamers o250kW'!$L$141:$N$141</c:f>
              <c:numCache>
                <c:formatCode>#,##0</c:formatCode>
                <c:ptCount val="3"/>
                <c:pt idx="0">
                  <c:v>1126.4673749999999</c:v>
                </c:pt>
                <c:pt idx="1">
                  <c:v>1030.71813636364</c:v>
                </c:pt>
                <c:pt idx="2">
                  <c:v>804.16343749999999</c:v>
                </c:pt>
              </c:numCache>
            </c:numRef>
          </c:val>
          <c:extLst>
            <c:ext xmlns:c16="http://schemas.microsoft.com/office/drawing/2014/chart" uri="{C3380CC4-5D6E-409C-BE32-E72D297353CC}">
              <c16:uniqueId val="{00000001-73D7-441F-A07A-CFD27D9D0214}"/>
            </c:ext>
          </c:extLst>
        </c:ser>
        <c:ser>
          <c:idx val="2"/>
          <c:order val="2"/>
          <c:tx>
            <c:strRef>
              <c:f>'South West beamers o250kW'!$K$142</c:f>
              <c:strCache>
                <c:ptCount val="1"/>
                <c:pt idx="0">
                  <c:v>Operating profit</c:v>
                </c:pt>
              </c:strCache>
            </c:strRef>
          </c:tx>
          <c:spPr>
            <a:solidFill>
              <a:srgbClr val="51AA81"/>
            </a:solidFill>
          </c:spPr>
          <c:invertIfNegative val="0"/>
          <c:cat>
            <c:strRef>
              <c:f>'South West beamers o250kW'!$L$139:$N$139</c:f>
              <c:strCache>
                <c:ptCount val="3"/>
                <c:pt idx="0">
                  <c:v>Most
profitable
quartile</c:v>
                </c:pt>
                <c:pt idx="1">
                  <c:v>Middle
two quartiles</c:v>
                </c:pt>
                <c:pt idx="2">
                  <c:v>Least
profitable
quartile</c:v>
                </c:pt>
              </c:strCache>
            </c:strRef>
          </c:cat>
          <c:val>
            <c:numRef>
              <c:f>'South West beamers o250kW'!$L$142:$N$142</c:f>
              <c:numCache>
                <c:formatCode>#,##0</c:formatCode>
                <c:ptCount val="3"/>
                <c:pt idx="0">
                  <c:v>245.873625</c:v>
                </c:pt>
                <c:pt idx="1">
                  <c:v>144.904579545454</c:v>
                </c:pt>
                <c:pt idx="2">
                  <c:v>26.6655625</c:v>
                </c:pt>
              </c:numCache>
            </c:numRef>
          </c:val>
          <c:extLst>
            <c:ext xmlns:c16="http://schemas.microsoft.com/office/drawing/2014/chart" uri="{C3380CC4-5D6E-409C-BE32-E72D297353CC}">
              <c16:uniqueId val="{00000002-73D7-441F-A07A-CFD27D9D0214}"/>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'South West beamers o250kW'!$K$143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u250kW'!$A$49</c:f>
          <c:strCache>
            <c:ptCount val="1"/>
            <c:pt idx="0">
              <c:v>Landings per kW day at sea (kg)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6D0-48AC-A4E2-676B7A10631F}"/>
              </c:ext>
            </c:extLst>
          </c:dPt>
          <c:dPt>
            <c:idx val="10"/>
            <c:bubble3D val="0"/>
            <c:spPr>
              <a:ln w="57150">
                <a:solidFill>
                  <a:srgbClr val="2273B9"/>
                </a:solidFill>
                <a:prstDash val="sysDot"/>
              </a:ln>
            </c:spPr>
            <c:extLst>
              <c:ext xmlns:c16="http://schemas.microsoft.com/office/drawing/2014/chart" uri="{C3380CC4-5D6E-409C-BE32-E72D297353CC}">
                <c16:uniqueId val="{00000003-B6D0-48AC-A4E2-676B7A10631F}"/>
              </c:ext>
            </c:extLst>
          </c:dPt>
          <c:cat>
            <c:numRef>
              <c:f>'South West beamers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u250kW'!$D$22:$N$22</c:f>
              <c:numCache>
                <c:formatCode>#,##0.00</c:formatCode>
                <c:ptCount val="11"/>
                <c:pt idx="0">
                  <c:v>4.2919013629767271</c:v>
                </c:pt>
                <c:pt idx="1">
                  <c:v>4.3468476751187071</c:v>
                </c:pt>
                <c:pt idx="2">
                  <c:v>4.2099381255955901</c:v>
                </c:pt>
                <c:pt idx="3">
                  <c:v>4.4918609369670488</c:v>
                </c:pt>
                <c:pt idx="4">
                  <c:v>4.0842536957200126</c:v>
                </c:pt>
                <c:pt idx="5">
                  <c:v>4.1267879565196361</c:v>
                </c:pt>
                <c:pt idx="6">
                  <c:v>3.7922992737046153</c:v>
                </c:pt>
                <c:pt idx="7">
                  <c:v>4.2545362521853063</c:v>
                </c:pt>
                <c:pt idx="8">
                  <c:v>3.9176328501025517</c:v>
                </c:pt>
                <c:pt idx="9">
                  <c:v>3.8174020562427544</c:v>
                </c:pt>
                <c:pt idx="10">
                  <c:v>3.874285851144089</c:v>
                </c:pt>
              </c:numCache>
            </c:numRef>
          </c:val>
          <c:smooth val="0"/>
          <c:extLst>
            <c:ext xmlns:c16="http://schemas.microsoft.com/office/drawing/2014/chart" uri="{C3380CC4-5D6E-409C-BE32-E72D297353CC}">
              <c16:uniqueId val="{00000004-B6D0-48AC-A4E2-676B7A10631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u250kW'!$A$50</c:f>
          <c:strCache>
            <c:ptCount val="1"/>
            <c:pt idx="0">
              <c:v>Fishing income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312-4DCF-8CE0-1E6636713890}"/>
              </c:ext>
            </c:extLst>
          </c:dPt>
          <c:dPt>
            <c:idx val="10"/>
            <c:bubble3D val="0"/>
            <c:spPr>
              <a:ln w="57150">
                <a:solidFill>
                  <a:srgbClr val="648C2E"/>
                </a:solidFill>
                <a:prstDash val="sysDot"/>
              </a:ln>
            </c:spPr>
            <c:extLst>
              <c:ext xmlns:c16="http://schemas.microsoft.com/office/drawing/2014/chart" uri="{C3380CC4-5D6E-409C-BE32-E72D297353CC}">
                <c16:uniqueId val="{00000003-0312-4DCF-8CE0-1E6636713890}"/>
              </c:ext>
            </c:extLst>
          </c:dPt>
          <c:cat>
            <c:numRef>
              <c:f>'South West beamers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u250kW'!$D$23:$N$23</c:f>
              <c:numCache>
                <c:formatCode>#,##0.00</c:formatCode>
                <c:ptCount val="11"/>
                <c:pt idx="0">
                  <c:v>13.737964039725201</c:v>
                </c:pt>
                <c:pt idx="1">
                  <c:v>13.350618544747199</c:v>
                </c:pt>
                <c:pt idx="2">
                  <c:v>13.4267084609441</c:v>
                </c:pt>
                <c:pt idx="3">
                  <c:v>13.233993803485101</c:v>
                </c:pt>
                <c:pt idx="4">
                  <c:v>14.9713585083922</c:v>
                </c:pt>
                <c:pt idx="5">
                  <c:v>17.0935128241378</c:v>
                </c:pt>
                <c:pt idx="6">
                  <c:v>15.588394739059099</c:v>
                </c:pt>
                <c:pt idx="7">
                  <c:v>15.919290507309601</c:v>
                </c:pt>
                <c:pt idx="8">
                  <c:v>13.504281954599699</c:v>
                </c:pt>
                <c:pt idx="9">
                  <c:v>14.920776216856501</c:v>
                </c:pt>
                <c:pt idx="10">
                  <c:v>16.93077031476296</c:v>
                </c:pt>
              </c:numCache>
            </c:numRef>
          </c:val>
          <c:smooth val="0"/>
          <c:extLst>
            <c:ext xmlns:c16="http://schemas.microsoft.com/office/drawing/2014/chart" uri="{C3380CC4-5D6E-409C-BE32-E72D297353CC}">
              <c16:uniqueId val="{00000004-0312-4DCF-8CE0-1E6636713890}"/>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u250kW'!$B$63</c:f>
          <c:strCache>
            <c:ptCount val="1"/>
            <c:pt idx="0">
              <c:v>Total cost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BA2-4A44-B04C-63A5C2BC50F4}"/>
              </c:ext>
            </c:extLst>
          </c:dPt>
          <c:dPt>
            <c:idx val="10"/>
            <c:bubble3D val="0"/>
            <c:spPr>
              <a:ln w="57150">
                <a:solidFill>
                  <a:srgbClr val="087CBB"/>
                </a:solidFill>
                <a:prstDash val="sysDot"/>
              </a:ln>
            </c:spPr>
            <c:extLst>
              <c:ext xmlns:c16="http://schemas.microsoft.com/office/drawing/2014/chart" uri="{C3380CC4-5D6E-409C-BE32-E72D297353CC}">
                <c16:uniqueId val="{00000003-ABA2-4A44-B04C-63A5C2BC50F4}"/>
              </c:ext>
            </c:extLst>
          </c:dPt>
          <c:cat>
            <c:numRef>
              <c:f>'South West beamers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u250kW'!$D$24:$N$24</c:f>
              <c:numCache>
                <c:formatCode>#,##0.00</c:formatCode>
                <c:ptCount val="11"/>
                <c:pt idx="0">
                  <c:v>12.3573851636728</c:v>
                </c:pt>
                <c:pt idx="1">
                  <c:v>12.571803675330401</c:v>
                </c:pt>
                <c:pt idx="2">
                  <c:v>13.15251216417</c:v>
                </c:pt>
                <c:pt idx="3">
                  <c:v>12.103348483103099</c:v>
                </c:pt>
                <c:pt idx="4">
                  <c:v>11.367346952785899</c:v>
                </c:pt>
                <c:pt idx="5">
                  <c:v>13.162873425931201</c:v>
                </c:pt>
                <c:pt idx="6">
                  <c:v>13.3734411977891</c:v>
                </c:pt>
                <c:pt idx="7">
                  <c:v>12.218353439144</c:v>
                </c:pt>
                <c:pt idx="8">
                  <c:v>10.9861413903746</c:v>
                </c:pt>
                <c:pt idx="9">
                  <c:v>12.1392077008037</c:v>
                </c:pt>
                <c:pt idx="10">
                  <c:v>14.613250780978385</c:v>
                </c:pt>
              </c:numCache>
            </c:numRef>
          </c:val>
          <c:smooth val="0"/>
          <c:extLst>
            <c:ext xmlns:c16="http://schemas.microsoft.com/office/drawing/2014/chart" uri="{C3380CC4-5D6E-409C-BE32-E72D297353CC}">
              <c16:uniqueId val="{00000004-ABA2-4A44-B04C-63A5C2BC50F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u250kW'!$K$49</c:f>
          <c:strCache>
            <c:ptCount val="1"/>
            <c:pt idx="0">
              <c:v>Operating profit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5D94-4E47-A57D-6FF16C05F4AE}"/>
              </c:ext>
            </c:extLst>
          </c:dPt>
          <c:dPt>
            <c:idx val="10"/>
            <c:bubble3D val="0"/>
            <c:spPr>
              <a:ln w="57150">
                <a:solidFill>
                  <a:schemeClr val="accent3"/>
                </a:solidFill>
                <a:prstDash val="sysDot"/>
              </a:ln>
            </c:spPr>
            <c:extLst>
              <c:ext xmlns:c16="http://schemas.microsoft.com/office/drawing/2014/chart" uri="{C3380CC4-5D6E-409C-BE32-E72D297353CC}">
                <c16:uniqueId val="{00000003-5D94-4E47-A57D-6FF16C05F4AE}"/>
              </c:ext>
            </c:extLst>
          </c:dPt>
          <c:cat>
            <c:numRef>
              <c:f>'South West beamers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'South West beamers u250kW'!$D$25:$N$25</c:f>
              <c:numCache>
                <c:formatCode>#,##0.00</c:formatCode>
                <c:ptCount val="11"/>
                <c:pt idx="0">
                  <c:v>1.97289844145078</c:v>
                </c:pt>
                <c:pt idx="1">
                  <c:v>0.85489437890214004</c:v>
                </c:pt>
                <c:pt idx="2">
                  <c:v>0.73212004169700495</c:v>
                </c:pt>
                <c:pt idx="3">
                  <c:v>1.92356827682108</c:v>
                </c:pt>
                <c:pt idx="4">
                  <c:v>3.6040115556063399</c:v>
                </c:pt>
                <c:pt idx="5">
                  <c:v>3.9307070088020599</c:v>
                </c:pt>
                <c:pt idx="6">
                  <c:v>2.4171370873381801</c:v>
                </c:pt>
                <c:pt idx="7">
                  <c:v>3.7767047776065401</c:v>
                </c:pt>
                <c:pt idx="8">
                  <c:v>2.7928655809038698</c:v>
                </c:pt>
                <c:pt idx="9">
                  <c:v>2.85645826286019</c:v>
                </c:pt>
                <c:pt idx="10">
                  <c:v>2.3175195337845751</c:v>
                </c:pt>
              </c:numCache>
            </c:numRef>
          </c:val>
          <c:smooth val="0"/>
          <c:extLst>
            <c:ext xmlns:c16="http://schemas.microsoft.com/office/drawing/2014/chart" uri="{C3380CC4-5D6E-409C-BE32-E72D297353CC}">
              <c16:uniqueId val="{00000004-5D94-4E47-A57D-6FF16C05F4A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u250kW'!$A$51</c:f>
          <c:strCache>
            <c:ptCount val="1"/>
            <c:pt idx="0">
              <c:v>Average price per tonne landed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9EC-426E-939C-EDC746481C9C}"/>
              </c:ext>
            </c:extLst>
          </c:dPt>
          <c:dPt>
            <c:idx val="10"/>
            <c:bubble3D val="0"/>
            <c:spPr>
              <a:ln w="57150">
                <a:solidFill>
                  <a:schemeClr val="accent4"/>
                </a:solidFill>
                <a:prstDash val="sysDot"/>
              </a:ln>
            </c:spPr>
            <c:extLst>
              <c:ext xmlns:c16="http://schemas.microsoft.com/office/drawing/2014/chart" uri="{C3380CC4-5D6E-409C-BE32-E72D297353CC}">
                <c16:uniqueId val="{00000003-E9EC-426E-939C-EDC746481C9C}"/>
              </c:ext>
            </c:extLst>
          </c:dPt>
          <c:cat>
            <c:numRef>
              <c:f>'South West beamers u250kW'!$D$2:$M$2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u250kW'!$D$21:$N$21</c:f>
              <c:numCache>
                <c:formatCode>#,##0</c:formatCode>
                <c:ptCount val="11"/>
                <c:pt idx="0">
                  <c:v>3201</c:v>
                </c:pt>
                <c:pt idx="1">
                  <c:v>3071</c:v>
                </c:pt>
                <c:pt idx="2">
                  <c:v>3189</c:v>
                </c:pt>
                <c:pt idx="3">
                  <c:v>2946</c:v>
                </c:pt>
                <c:pt idx="4">
                  <c:v>3666</c:v>
                </c:pt>
                <c:pt idx="5">
                  <c:v>4142</c:v>
                </c:pt>
                <c:pt idx="6">
                  <c:v>4111</c:v>
                </c:pt>
                <c:pt idx="7">
                  <c:v>3742</c:v>
                </c:pt>
                <c:pt idx="8">
                  <c:v>3447</c:v>
                </c:pt>
                <c:pt idx="9">
                  <c:v>3909</c:v>
                </c:pt>
                <c:pt idx="10">
                  <c:v>4370</c:v>
                </c:pt>
              </c:numCache>
            </c:numRef>
          </c:val>
          <c:smooth val="0"/>
          <c:extLst>
            <c:ext xmlns:c16="http://schemas.microsoft.com/office/drawing/2014/chart" uri="{C3380CC4-5D6E-409C-BE32-E72D297353CC}">
              <c16:uniqueId val="{00000004-E9EC-426E-939C-EDC746481C9C}"/>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u250kW'!$K$63</c:f>
          <c:strCache>
            <c:ptCount val="1"/>
            <c:pt idx="0">
              <c:v>Average annual operating profit per vessel (£'000)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EA59-4FF3-8B97-916385AB6F04}"/>
              </c:ext>
            </c:extLst>
          </c:dPt>
          <c:dPt>
            <c:idx val="10"/>
            <c:bubble3D val="0"/>
            <c:spPr>
              <a:ln w="57150">
                <a:solidFill>
                  <a:schemeClr val="accent5"/>
                </a:solidFill>
                <a:prstDash val="sysDot"/>
              </a:ln>
            </c:spPr>
            <c:extLst>
              <c:ext xmlns:c16="http://schemas.microsoft.com/office/drawing/2014/chart" uri="{C3380CC4-5D6E-409C-BE32-E72D297353CC}">
                <c16:uniqueId val="{00000003-EA59-4FF3-8B97-916385AB6F04}"/>
              </c:ext>
            </c:extLst>
          </c:dPt>
          <c:cat>
            <c:numRef>
              <c:f>'South West beamers u250kW'!$D$2:$M$2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u250kW'!$D$38:$N$38</c:f>
              <c:numCache>
                <c:formatCode>#,##0.0</c:formatCode>
                <c:ptCount val="11"/>
                <c:pt idx="0">
                  <c:v>104.8</c:v>
                </c:pt>
                <c:pt idx="1">
                  <c:v>46.4</c:v>
                </c:pt>
                <c:pt idx="2">
                  <c:v>38.4</c:v>
                </c:pt>
                <c:pt idx="3">
                  <c:v>93.5</c:v>
                </c:pt>
                <c:pt idx="4">
                  <c:v>184.6</c:v>
                </c:pt>
                <c:pt idx="5">
                  <c:v>196.5</c:v>
                </c:pt>
                <c:pt idx="6">
                  <c:v>116</c:v>
                </c:pt>
                <c:pt idx="7">
                  <c:v>185.2</c:v>
                </c:pt>
                <c:pt idx="8">
                  <c:v>123.2</c:v>
                </c:pt>
                <c:pt idx="9">
                  <c:v>135</c:v>
                </c:pt>
                <c:pt idx="10">
                  <c:v>110.4</c:v>
                </c:pt>
              </c:numCache>
            </c:numRef>
          </c:val>
          <c:smooth val="0"/>
          <c:extLst>
            <c:ext xmlns:c16="http://schemas.microsoft.com/office/drawing/2014/chart" uri="{C3380CC4-5D6E-409C-BE32-E72D297353CC}">
              <c16:uniqueId val="{00000004-EA59-4FF3-8B97-916385AB6F04}"/>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u250kW'!$A$77</c:f>
          <c:strCache>
            <c:ptCount val="1"/>
            <c:pt idx="0">
              <c:v>Top 5 landed species by volume in 2021
South West beamers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9CC5-4290-BB0A-0C4C601046F3}"/>
              </c:ext>
            </c:extLst>
          </c:dPt>
          <c:dPt>
            <c:idx val="1"/>
            <c:bubble3D val="0"/>
            <c:spPr>
              <a:solidFill>
                <a:srgbClr val="648C2E"/>
              </a:solidFill>
              <a:ln>
                <a:solidFill>
                  <a:srgbClr val="FFFFFF"/>
                </a:solidFill>
              </a:ln>
            </c:spPr>
            <c:extLst>
              <c:ext xmlns:c16="http://schemas.microsoft.com/office/drawing/2014/chart" uri="{C3380CC4-5D6E-409C-BE32-E72D297353CC}">
                <c16:uniqueId val="{00000003-9CC5-4290-BB0A-0C4C601046F3}"/>
              </c:ext>
            </c:extLst>
          </c:dPt>
          <c:dPt>
            <c:idx val="2"/>
            <c:bubble3D val="0"/>
            <c:spPr>
              <a:solidFill>
                <a:srgbClr val="2273B9"/>
              </a:solidFill>
              <a:ln>
                <a:solidFill>
                  <a:srgbClr val="FFFFFF"/>
                </a:solidFill>
              </a:ln>
            </c:spPr>
            <c:extLst>
              <c:ext xmlns:c16="http://schemas.microsoft.com/office/drawing/2014/chart" uri="{C3380CC4-5D6E-409C-BE32-E72D297353CC}">
                <c16:uniqueId val="{00000005-9CC5-4290-BB0A-0C4C601046F3}"/>
              </c:ext>
            </c:extLst>
          </c:dPt>
          <c:dPt>
            <c:idx val="3"/>
            <c:bubble3D val="0"/>
            <c:spPr>
              <a:solidFill>
                <a:srgbClr val="C1D119"/>
              </a:solidFill>
              <a:ln>
                <a:solidFill>
                  <a:srgbClr val="FFFFFF"/>
                </a:solidFill>
              </a:ln>
            </c:spPr>
            <c:extLst>
              <c:ext xmlns:c16="http://schemas.microsoft.com/office/drawing/2014/chart" uri="{C3380CC4-5D6E-409C-BE32-E72D297353CC}">
                <c16:uniqueId val="{00000007-9CC5-4290-BB0A-0C4C601046F3}"/>
              </c:ext>
            </c:extLst>
          </c:dPt>
          <c:dPt>
            <c:idx val="4"/>
            <c:bubble3D val="0"/>
            <c:spPr>
              <a:solidFill>
                <a:srgbClr val="0F9AA9"/>
              </a:solidFill>
              <a:ln>
                <a:solidFill>
                  <a:srgbClr val="FFFFFF"/>
                </a:solidFill>
              </a:ln>
            </c:spPr>
            <c:extLst>
              <c:ext xmlns:c16="http://schemas.microsoft.com/office/drawing/2014/chart" uri="{C3380CC4-5D6E-409C-BE32-E72D297353CC}">
                <c16:uniqueId val="{00000009-9CC5-4290-BB0A-0C4C601046F3}"/>
              </c:ext>
            </c:extLst>
          </c:dPt>
          <c:dPt>
            <c:idx val="5"/>
            <c:bubble3D val="0"/>
            <c:spPr>
              <a:solidFill>
                <a:srgbClr val="55585A"/>
              </a:solidFill>
              <a:ln>
                <a:solidFill>
                  <a:srgbClr val="FFFFFF"/>
                </a:solidFill>
              </a:ln>
            </c:spPr>
            <c:extLst>
              <c:ext xmlns:c16="http://schemas.microsoft.com/office/drawing/2014/chart" uri="{C3380CC4-5D6E-409C-BE32-E72D297353CC}">
                <c16:uniqueId val="{0000000B-9CC5-4290-BB0A-0C4C601046F3}"/>
              </c:ext>
            </c:extLst>
          </c:dPt>
          <c:cat>
            <c:strRef>
              <c:f>'South West beamers u250kW'!$B$78:$B$83</c:f>
              <c:strCache>
                <c:ptCount val="6"/>
                <c:pt idx="0">
                  <c:v>Anglerfish - 18.0%</c:v>
                </c:pt>
                <c:pt idx="1">
                  <c:v>Cuttlefish - 14.8%</c:v>
                </c:pt>
                <c:pt idx="2">
                  <c:v>Sole - 13.0%</c:v>
                </c:pt>
                <c:pt idx="3">
                  <c:v>Plaice - 10.6%</c:v>
                </c:pt>
                <c:pt idx="4">
                  <c:v>Scallops - 9.1%</c:v>
                </c:pt>
                <c:pt idx="5">
                  <c:v>Others - 34.5%</c:v>
                </c:pt>
              </c:strCache>
            </c:strRef>
          </c:cat>
          <c:val>
            <c:numRef>
              <c:f>'South West beamers u250kW'!$C$78:$C$83</c:f>
              <c:numCache>
                <c:formatCode>0.0%</c:formatCode>
                <c:ptCount val="6"/>
                <c:pt idx="0">
                  <c:v>0.17995919947455774</c:v>
                </c:pt>
                <c:pt idx="1">
                  <c:v>0.14811099507384362</c:v>
                </c:pt>
                <c:pt idx="2">
                  <c:v>0.13016888857436446</c:v>
                </c:pt>
                <c:pt idx="3">
                  <c:v>0.10577870778986533</c:v>
                </c:pt>
                <c:pt idx="4">
                  <c:v>9.0707517279975794E-2</c:v>
                </c:pt>
                <c:pt idx="5">
                  <c:v>0.34527469180739301</c:v>
                </c:pt>
              </c:numCache>
            </c:numRef>
          </c:val>
          <c:extLst>
            <c:ext xmlns:c16="http://schemas.microsoft.com/office/drawing/2014/chart" uri="{C3380CC4-5D6E-409C-BE32-E72D297353CC}">
              <c16:uniqueId val="{0000000C-9CC5-4290-BB0A-0C4C601046F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u250kW'!$A$50</c:f>
          <c:strCache>
            <c:ptCount val="1"/>
            <c:pt idx="0">
              <c:v>Fishing income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9824-409F-A482-7E041E960B40}"/>
              </c:ext>
            </c:extLst>
          </c:dPt>
          <c:dPt>
            <c:idx val="10"/>
            <c:bubble3D val="0"/>
            <c:spPr>
              <a:ln w="57150">
                <a:solidFill>
                  <a:srgbClr val="648C2E"/>
                </a:solidFill>
                <a:prstDash val="sysDot"/>
              </a:ln>
            </c:spPr>
            <c:extLst>
              <c:ext xmlns:c16="http://schemas.microsoft.com/office/drawing/2014/chart" uri="{C3380CC4-5D6E-409C-BE32-E72D297353CC}">
                <c16:uniqueId val="{00000003-9824-409F-A482-7E041E960B40}"/>
              </c:ext>
            </c:extLst>
          </c:dPt>
          <c:cat>
            <c:numRef>
              <c:f>'Area VIIa nephrops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u250kW'!$D$23:$N$23</c:f>
              <c:numCache>
                <c:formatCode>#,##0.00</c:formatCode>
                <c:ptCount val="11"/>
                <c:pt idx="0">
                  <c:v>8.6438669579769307</c:v>
                </c:pt>
                <c:pt idx="1">
                  <c:v>6.8733513452356698</c:v>
                </c:pt>
                <c:pt idx="2">
                  <c:v>6.6793911887141499</c:v>
                </c:pt>
                <c:pt idx="3">
                  <c:v>7.7317467440522503</c:v>
                </c:pt>
                <c:pt idx="4">
                  <c:v>8.1599770091620698</c:v>
                </c:pt>
                <c:pt idx="5">
                  <c:v>8.0888391018775998</c:v>
                </c:pt>
                <c:pt idx="6">
                  <c:v>7.7051096643499504</c:v>
                </c:pt>
                <c:pt idx="7">
                  <c:v>8.5953263385071192</c:v>
                </c:pt>
                <c:pt idx="8">
                  <c:v>7.1427635807026597</c:v>
                </c:pt>
                <c:pt idx="9">
                  <c:v>6.84555813368799</c:v>
                </c:pt>
                <c:pt idx="10">
                  <c:v>9.2586692497261733</c:v>
                </c:pt>
              </c:numCache>
            </c:numRef>
          </c:val>
          <c:smooth val="0"/>
          <c:extLst>
            <c:ext xmlns:c16="http://schemas.microsoft.com/office/drawing/2014/chart" uri="{C3380CC4-5D6E-409C-BE32-E72D297353CC}">
              <c16:uniqueId val="{00000004-9824-409F-A482-7E041E960B40}"/>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u250kW'!$F$77</c:f>
          <c:strCache>
            <c:ptCount val="1"/>
            <c:pt idx="0">
              <c:v>Top 5 landed species by value in 2021
South West beamers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5D5-484B-8EB5-D76C4012BBA5}"/>
              </c:ext>
            </c:extLst>
          </c:dPt>
          <c:dPt>
            <c:idx val="1"/>
            <c:bubble3D val="0"/>
            <c:spPr>
              <a:solidFill>
                <a:srgbClr val="E87308"/>
              </a:solidFill>
              <a:ln>
                <a:solidFill>
                  <a:srgbClr val="FFFFFF"/>
                </a:solidFill>
              </a:ln>
            </c:spPr>
            <c:extLst>
              <c:ext xmlns:c16="http://schemas.microsoft.com/office/drawing/2014/chart" uri="{C3380CC4-5D6E-409C-BE32-E72D297353CC}">
                <c16:uniqueId val="{00000003-15D5-484B-8EB5-D76C4012BBA5}"/>
              </c:ext>
            </c:extLst>
          </c:dPt>
          <c:dPt>
            <c:idx val="2"/>
            <c:bubble3D val="0"/>
            <c:spPr>
              <a:solidFill>
                <a:srgbClr val="648C2E"/>
              </a:solidFill>
              <a:ln>
                <a:solidFill>
                  <a:srgbClr val="FFFFFF"/>
                </a:solidFill>
              </a:ln>
            </c:spPr>
            <c:extLst>
              <c:ext xmlns:c16="http://schemas.microsoft.com/office/drawing/2014/chart" uri="{C3380CC4-5D6E-409C-BE32-E72D297353CC}">
                <c16:uniqueId val="{00000005-15D5-484B-8EB5-D76C4012BBA5}"/>
              </c:ext>
            </c:extLst>
          </c:dPt>
          <c:dPt>
            <c:idx val="3"/>
            <c:bubble3D val="0"/>
            <c:spPr>
              <a:solidFill>
                <a:srgbClr val="C1D119"/>
              </a:solidFill>
              <a:ln>
                <a:solidFill>
                  <a:srgbClr val="FFFFFF"/>
                </a:solidFill>
              </a:ln>
            </c:spPr>
            <c:extLst>
              <c:ext xmlns:c16="http://schemas.microsoft.com/office/drawing/2014/chart" uri="{C3380CC4-5D6E-409C-BE32-E72D297353CC}">
                <c16:uniqueId val="{00000007-15D5-484B-8EB5-D76C4012BBA5}"/>
              </c:ext>
            </c:extLst>
          </c:dPt>
          <c:dPt>
            <c:idx val="4"/>
            <c:bubble3D val="0"/>
            <c:spPr>
              <a:solidFill>
                <a:srgbClr val="E84A38"/>
              </a:solidFill>
              <a:ln>
                <a:solidFill>
                  <a:srgbClr val="FFFFFF"/>
                </a:solidFill>
              </a:ln>
            </c:spPr>
            <c:extLst>
              <c:ext xmlns:c16="http://schemas.microsoft.com/office/drawing/2014/chart" uri="{C3380CC4-5D6E-409C-BE32-E72D297353CC}">
                <c16:uniqueId val="{00000009-15D5-484B-8EB5-D76C4012BBA5}"/>
              </c:ext>
            </c:extLst>
          </c:dPt>
          <c:dPt>
            <c:idx val="5"/>
            <c:bubble3D val="0"/>
            <c:spPr>
              <a:solidFill>
                <a:srgbClr val="55585A"/>
              </a:solidFill>
              <a:ln>
                <a:solidFill>
                  <a:srgbClr val="FFFFFF"/>
                </a:solidFill>
              </a:ln>
            </c:spPr>
            <c:extLst>
              <c:ext xmlns:c16="http://schemas.microsoft.com/office/drawing/2014/chart" uri="{C3380CC4-5D6E-409C-BE32-E72D297353CC}">
                <c16:uniqueId val="{0000000B-15D5-484B-8EB5-D76C4012BBA5}"/>
              </c:ext>
            </c:extLst>
          </c:dPt>
          <c:cat>
            <c:strRef>
              <c:f>'South West beamers u250kW'!$G$78:$G$83</c:f>
              <c:strCache>
                <c:ptCount val="6"/>
                <c:pt idx="0">
                  <c:v>Sole - 37.4%</c:v>
                </c:pt>
                <c:pt idx="1">
                  <c:v>Anglerfish - 15.0%</c:v>
                </c:pt>
                <c:pt idx="2">
                  <c:v>Cuttlefish - 11.3%</c:v>
                </c:pt>
                <c:pt idx="3">
                  <c:v>Plaice - 6.7%</c:v>
                </c:pt>
                <c:pt idx="4">
                  <c:v>Turbot - 5.2%</c:v>
                </c:pt>
                <c:pt idx="5">
                  <c:v>Others - 24.4%</c:v>
                </c:pt>
              </c:strCache>
            </c:strRef>
          </c:cat>
          <c:val>
            <c:numRef>
              <c:f>'South West beamers u250kW'!$H$78:$H$83</c:f>
              <c:numCache>
                <c:formatCode>0.0%</c:formatCode>
                <c:ptCount val="6"/>
                <c:pt idx="0">
                  <c:v>0.37361966421912751</c:v>
                </c:pt>
                <c:pt idx="1">
                  <c:v>0.15000334913598998</c:v>
                </c:pt>
                <c:pt idx="2">
                  <c:v>0.11298078355923671</c:v>
                </c:pt>
                <c:pt idx="3">
                  <c:v>6.7315230514436233E-2</c:v>
                </c:pt>
                <c:pt idx="4">
                  <c:v>5.1934900917730321E-2</c:v>
                </c:pt>
                <c:pt idx="5">
                  <c:v>0.24414607165347924</c:v>
                </c:pt>
              </c:numCache>
            </c:numRef>
          </c:val>
          <c:extLst>
            <c:ext xmlns:c16="http://schemas.microsoft.com/office/drawing/2014/chart" uri="{C3380CC4-5D6E-409C-BE32-E72D297353CC}">
              <c16:uniqueId val="{0000000C-15D5-484B-8EB5-D76C4012BBA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u250kW'!$C$93</c:f>
              <c:strCache>
                <c:ptCount val="1"/>
                <c:pt idx="0">
                  <c:v>Sole</c:v>
                </c:pt>
              </c:strCache>
            </c:strRef>
          </c:tx>
          <c:spPr>
            <a:solidFill>
              <a:srgbClr val="2273B9"/>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u250kW'!$D$93:$M$93</c:f>
              <c:numCache>
                <c:formatCode>0%</c:formatCode>
                <c:ptCount val="10"/>
                <c:pt idx="0">
                  <c:v>0.30137013569889393</c:v>
                </c:pt>
                <c:pt idx="1">
                  <c:v>0.31327666193874859</c:v>
                </c:pt>
                <c:pt idx="2">
                  <c:v>0.249869726285287</c:v>
                </c:pt>
                <c:pt idx="3">
                  <c:v>0.30838311037860155</c:v>
                </c:pt>
                <c:pt idx="4">
                  <c:v>0.27049919495999786</c:v>
                </c:pt>
                <c:pt idx="5">
                  <c:v>0.30619542803316985</c:v>
                </c:pt>
                <c:pt idx="6">
                  <c:v>0.34313585285352427</c:v>
                </c:pt>
                <c:pt idx="7">
                  <c:v>0.39461711242231007</c:v>
                </c:pt>
                <c:pt idx="8">
                  <c:v>0.37361966421912751</c:v>
                </c:pt>
                <c:pt idx="9">
                  <c:v>0.356741253021921</c:v>
                </c:pt>
              </c:numCache>
            </c:numRef>
          </c:val>
          <c:extLst>
            <c:ext xmlns:c16="http://schemas.microsoft.com/office/drawing/2014/chart" uri="{C3380CC4-5D6E-409C-BE32-E72D297353CC}">
              <c16:uniqueId val="{00000000-1F76-44AB-891F-7E3C0C3F2DC9}"/>
            </c:ext>
          </c:extLst>
        </c:ser>
        <c:ser>
          <c:idx val="1"/>
          <c:order val="1"/>
          <c:tx>
            <c:strRef>
              <c:f>'South West beamers u250kW'!$C$94</c:f>
              <c:strCache>
                <c:ptCount val="1"/>
                <c:pt idx="0">
                  <c:v>Anglerfish</c:v>
                </c:pt>
              </c:strCache>
            </c:strRef>
          </c:tx>
          <c:spPr>
            <a:solidFill>
              <a:srgbClr val="E87308"/>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u250kW'!$D$94:$M$94</c:f>
              <c:numCache>
                <c:formatCode>0%</c:formatCode>
                <c:ptCount val="10"/>
                <c:pt idx="0">
                  <c:v>0.16010500847611142</c:v>
                </c:pt>
                <c:pt idx="1">
                  <c:v>0.15584372871393073</c:v>
                </c:pt>
                <c:pt idx="2">
                  <c:v>0.13602908656050966</c:v>
                </c:pt>
                <c:pt idx="3">
                  <c:v>0.13056912168725537</c:v>
                </c:pt>
                <c:pt idx="4">
                  <c:v>9.2756589345654672E-2</c:v>
                </c:pt>
                <c:pt idx="5">
                  <c:v>7.9992366619658195E-2</c:v>
                </c:pt>
                <c:pt idx="6">
                  <c:v>9.7349065764599632E-2</c:v>
                </c:pt>
                <c:pt idx="7">
                  <c:v>0.12427858672750672</c:v>
                </c:pt>
                <c:pt idx="8">
                  <c:v>0.15000334913598998</c:v>
                </c:pt>
                <c:pt idx="9">
                  <c:v>0.12522758076617008</c:v>
                </c:pt>
              </c:numCache>
            </c:numRef>
          </c:val>
          <c:extLst>
            <c:ext xmlns:c16="http://schemas.microsoft.com/office/drawing/2014/chart" uri="{C3380CC4-5D6E-409C-BE32-E72D297353CC}">
              <c16:uniqueId val="{00000001-1F76-44AB-891F-7E3C0C3F2DC9}"/>
            </c:ext>
          </c:extLst>
        </c:ser>
        <c:ser>
          <c:idx val="2"/>
          <c:order val="2"/>
          <c:tx>
            <c:strRef>
              <c:f>'South West beamers u250kW'!$C$95</c:f>
              <c:strCache>
                <c:ptCount val="1"/>
                <c:pt idx="0">
                  <c:v>Cuttlefish</c:v>
                </c:pt>
              </c:strCache>
            </c:strRef>
          </c:tx>
          <c:spPr>
            <a:solidFill>
              <a:srgbClr val="648C2E"/>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u250kW'!$D$95:$M$95</c:f>
              <c:numCache>
                <c:formatCode>0%</c:formatCode>
                <c:ptCount val="10"/>
                <c:pt idx="0">
                  <c:v>0.176768965806258</c:v>
                </c:pt>
                <c:pt idx="1">
                  <c:v>0.13221071188071332</c:v>
                </c:pt>
                <c:pt idx="2">
                  <c:v>0.21384471077836212</c:v>
                </c:pt>
                <c:pt idx="3">
                  <c:v>0.20224216561180708</c:v>
                </c:pt>
                <c:pt idx="4">
                  <c:v>0.32172435001989674</c:v>
                </c:pt>
                <c:pt idx="5">
                  <c:v>0.23451764617336684</c:v>
                </c:pt>
                <c:pt idx="6">
                  <c:v>0.19411595030056836</c:v>
                </c:pt>
                <c:pt idx="7">
                  <c:v>0.1392703697711061</c:v>
                </c:pt>
                <c:pt idx="8">
                  <c:v>0.11298078355923671</c:v>
                </c:pt>
                <c:pt idx="9">
                  <c:v>0.19074916371076009</c:v>
                </c:pt>
              </c:numCache>
            </c:numRef>
          </c:val>
          <c:extLst>
            <c:ext xmlns:c16="http://schemas.microsoft.com/office/drawing/2014/chart" uri="{C3380CC4-5D6E-409C-BE32-E72D297353CC}">
              <c16:uniqueId val="{00000002-1F76-44AB-891F-7E3C0C3F2DC9}"/>
            </c:ext>
          </c:extLst>
        </c:ser>
        <c:ser>
          <c:idx val="3"/>
          <c:order val="3"/>
          <c:tx>
            <c:strRef>
              <c:f>'South West beamers u250kW'!$C$96</c:f>
              <c:strCache>
                <c:ptCount val="1"/>
                <c:pt idx="0">
                  <c:v>Plaice</c:v>
                </c:pt>
              </c:strCache>
            </c:strRef>
          </c:tx>
          <c:spPr>
            <a:solidFill>
              <a:srgbClr val="C1D119"/>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u250kW'!$D$96:$M$96</c:f>
              <c:numCache>
                <c:formatCode>0%</c:formatCode>
                <c:ptCount val="10"/>
                <c:pt idx="0">
                  <c:v>5.2155063158520858E-2</c:v>
                </c:pt>
                <c:pt idx="2">
                  <c:v>5.8053617621774058E-2</c:v>
                </c:pt>
                <c:pt idx="3">
                  <c:v>6.8743397180923038E-2</c:v>
                </c:pt>
                <c:pt idx="4">
                  <c:v>6.9937388615413668E-2</c:v>
                </c:pt>
                <c:pt idx="5">
                  <c:v>8.8835811922408719E-2</c:v>
                </c:pt>
                <c:pt idx="6">
                  <c:v>8.2308144203577308E-2</c:v>
                </c:pt>
                <c:pt idx="7">
                  <c:v>6.7529970290454697E-2</c:v>
                </c:pt>
                <c:pt idx="8">
                  <c:v>6.7315230514436233E-2</c:v>
                </c:pt>
                <c:pt idx="9">
                  <c:v>6.1283259160530797E-2</c:v>
                </c:pt>
              </c:numCache>
            </c:numRef>
          </c:val>
          <c:extLst>
            <c:ext xmlns:c16="http://schemas.microsoft.com/office/drawing/2014/chart" uri="{C3380CC4-5D6E-409C-BE32-E72D297353CC}">
              <c16:uniqueId val="{00000003-1F76-44AB-891F-7E3C0C3F2DC9}"/>
            </c:ext>
          </c:extLst>
        </c:ser>
        <c:ser>
          <c:idx val="4"/>
          <c:order val="4"/>
          <c:tx>
            <c:strRef>
              <c:f>'South West beamers u250kW'!$C$97</c:f>
              <c:strCache>
                <c:ptCount val="1"/>
                <c:pt idx="0">
                  <c:v>Turbot</c:v>
                </c:pt>
              </c:strCache>
            </c:strRef>
          </c:tx>
          <c:spPr>
            <a:solidFill>
              <a:srgbClr val="E84A38"/>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u250kW'!$D$97:$M$97</c:f>
              <c:numCache>
                <c:formatCode>0%</c:formatCode>
                <c:ptCount val="10"/>
                <c:pt idx="4">
                  <c:v>4.8975269498541502E-2</c:v>
                </c:pt>
                <c:pt idx="5">
                  <c:v>4.9573355836687732E-2</c:v>
                </c:pt>
                <c:pt idx="6">
                  <c:v>4.9839300509950696E-2</c:v>
                </c:pt>
                <c:pt idx="8">
                  <c:v>5.1934900917730321E-2</c:v>
                </c:pt>
              </c:numCache>
            </c:numRef>
          </c:val>
          <c:extLst>
            <c:ext xmlns:c16="http://schemas.microsoft.com/office/drawing/2014/chart" uri="{C3380CC4-5D6E-409C-BE32-E72D297353CC}">
              <c16:uniqueId val="{00000004-1F76-44AB-891F-7E3C0C3F2DC9}"/>
            </c:ext>
          </c:extLst>
        </c:ser>
        <c:ser>
          <c:idx val="5"/>
          <c:order val="5"/>
          <c:tx>
            <c:strRef>
              <c:f>'South West beamers u250kW'!$C$98</c:f>
              <c:strCache>
                <c:ptCount val="1"/>
                <c:pt idx="0">
                  <c:v>Scallops</c:v>
                </c:pt>
              </c:strCache>
            </c:strRef>
          </c:tx>
          <c:spPr>
            <a:solidFill>
              <a:srgbClr val="0F9AA9"/>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u250kW'!$D$98:$M$98</c:f>
              <c:numCache>
                <c:formatCode>0%</c:formatCode>
                <c:ptCount val="10"/>
                <c:pt idx="0">
                  <c:v>5.7972394508236831E-2</c:v>
                </c:pt>
                <c:pt idx="1">
                  <c:v>7.156080587492529E-2</c:v>
                </c:pt>
                <c:pt idx="2">
                  <c:v>8.3039232908570543E-2</c:v>
                </c:pt>
                <c:pt idx="3">
                  <c:v>5.9223806461051909E-2</c:v>
                </c:pt>
                <c:pt idx="7">
                  <c:v>5.2979693709887969E-2</c:v>
                </c:pt>
                <c:pt idx="9">
                  <c:v>4.8303485888837483E-2</c:v>
                </c:pt>
              </c:numCache>
            </c:numRef>
          </c:val>
          <c:extLst>
            <c:ext xmlns:c16="http://schemas.microsoft.com/office/drawing/2014/chart" uri="{C3380CC4-5D6E-409C-BE32-E72D297353CC}">
              <c16:uniqueId val="{00000005-1F76-44AB-891F-7E3C0C3F2DC9}"/>
            </c:ext>
          </c:extLst>
        </c:ser>
        <c:ser>
          <c:idx val="6"/>
          <c:order val="6"/>
          <c:tx>
            <c:strRef>
              <c:f>'South West beamers u250kW'!$C$99</c:f>
              <c:strCache>
                <c:ptCount val="1"/>
                <c:pt idx="0">
                  <c:v>Lemon Sole</c:v>
                </c:pt>
              </c:strCache>
            </c:strRef>
          </c:tx>
          <c:spPr>
            <a:solidFill>
              <a:srgbClr val="FED825"/>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u250kW'!$D$99:$M$99</c:f>
              <c:numCache>
                <c:formatCode>0%</c:formatCode>
                <c:ptCount val="10"/>
                <c:pt idx="1">
                  <c:v>6.1823384450716522E-2</c:v>
                </c:pt>
              </c:numCache>
            </c:numRef>
          </c:val>
          <c:extLst>
            <c:ext xmlns:c16="http://schemas.microsoft.com/office/drawing/2014/chart" uri="{C3380CC4-5D6E-409C-BE32-E72D297353CC}">
              <c16:uniqueId val="{00000006-1F76-44AB-891F-7E3C0C3F2DC9}"/>
            </c:ext>
          </c:extLst>
        </c:ser>
        <c:ser>
          <c:idx val="7"/>
          <c:order val="7"/>
          <c:tx>
            <c:strRef>
              <c:f>'South West beamers u250kW'!$C$100</c:f>
              <c:strCache>
                <c:ptCount val="1"/>
                <c:pt idx="0">
                  <c:v>Others</c:v>
                </c:pt>
              </c:strCache>
            </c:strRef>
          </c:tx>
          <c:spPr>
            <a:solidFill>
              <a:srgbClr val="55585A"/>
            </a:solidFill>
            <a:ln>
              <a:solidFill>
                <a:srgbClr val="FFFFFF"/>
              </a:solidFill>
            </a:ln>
          </c:spPr>
          <c:invertIfNegative val="0"/>
          <c:cat>
            <c:numRef>
              <c:f>'South West beamers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'South West beamers u250kW'!$D$100:$M$100</c:f>
              <c:numCache>
                <c:formatCode>0%</c:formatCode>
                <c:ptCount val="10"/>
                <c:pt idx="0">
                  <c:v>0.25162843235197896</c:v>
                </c:pt>
                <c:pt idx="1">
                  <c:v>0.26528470714096553</c:v>
                </c:pt>
                <c:pt idx="2">
                  <c:v>0.25916362584549663</c:v>
                </c:pt>
                <c:pt idx="3">
                  <c:v>0.23083839868036102</c:v>
                </c:pt>
                <c:pt idx="4">
                  <c:v>0.19610720756049554</c:v>
                </c:pt>
                <c:pt idx="5">
                  <c:v>0.24088539141470869</c:v>
                </c:pt>
                <c:pt idx="6">
                  <c:v>0.23325168636777971</c:v>
                </c:pt>
                <c:pt idx="7">
                  <c:v>0.22132426707873448</c:v>
                </c:pt>
                <c:pt idx="8">
                  <c:v>0.24414607165347924</c:v>
                </c:pt>
                <c:pt idx="9">
                  <c:v>0.21769525745178053</c:v>
                </c:pt>
              </c:numCache>
            </c:numRef>
          </c:val>
          <c:extLst>
            <c:ext xmlns:c16="http://schemas.microsoft.com/office/drawing/2014/chart" uri="{C3380CC4-5D6E-409C-BE32-E72D297353CC}">
              <c16:uniqueId val="{00000007-1F76-44AB-891F-7E3C0C3F2DC9}"/>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u250kW'!$B$163</c:f>
              <c:strCache>
                <c:ptCount val="1"/>
                <c:pt idx="0">
                  <c:v>Anglerfish</c:v>
                </c:pt>
              </c:strCache>
            </c:strRef>
          </c:tx>
          <c:spPr>
            <a:solidFill>
              <a:srgbClr val="E87308"/>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u250kW'!$C$163:$E$163</c:f>
              <c:numCache>
                <c:formatCode>0%</c:formatCode>
                <c:ptCount val="3"/>
                <c:pt idx="0">
                  <c:v>0.16450122967687747</c:v>
                </c:pt>
                <c:pt idx="1">
                  <c:v>0.23472074787469338</c:v>
                </c:pt>
                <c:pt idx="2">
                  <c:v>0.15923988426197228</c:v>
                </c:pt>
              </c:numCache>
            </c:numRef>
          </c:val>
          <c:extLst>
            <c:ext xmlns:c16="http://schemas.microsoft.com/office/drawing/2014/chart" uri="{C3380CC4-5D6E-409C-BE32-E72D297353CC}">
              <c16:uniqueId val="{00000000-1759-446F-8B0E-026B1CC81510}"/>
            </c:ext>
          </c:extLst>
        </c:ser>
        <c:ser>
          <c:idx val="1"/>
          <c:order val="1"/>
          <c:tx>
            <c:strRef>
              <c:f>'South West beamers u250kW'!$B$164</c:f>
              <c:strCache>
                <c:ptCount val="1"/>
                <c:pt idx="0">
                  <c:v>Sole</c:v>
                </c:pt>
              </c:strCache>
            </c:strRef>
          </c:tx>
          <c:spPr>
            <a:solidFill>
              <a:srgbClr val="2273B9"/>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u250kW'!$C$164:$E$164</c:f>
              <c:numCache>
                <c:formatCode>0%</c:formatCode>
                <c:ptCount val="3"/>
                <c:pt idx="0">
                  <c:v>7.9544974134684115E-2</c:v>
                </c:pt>
                <c:pt idx="1">
                  <c:v>0.19467690547849259</c:v>
                </c:pt>
                <c:pt idx="2">
                  <c:v>0.14714090941275598</c:v>
                </c:pt>
              </c:numCache>
            </c:numRef>
          </c:val>
          <c:extLst>
            <c:ext xmlns:c16="http://schemas.microsoft.com/office/drawing/2014/chart" uri="{C3380CC4-5D6E-409C-BE32-E72D297353CC}">
              <c16:uniqueId val="{00000001-1759-446F-8B0E-026B1CC81510}"/>
            </c:ext>
          </c:extLst>
        </c:ser>
        <c:ser>
          <c:idx val="2"/>
          <c:order val="2"/>
          <c:tx>
            <c:strRef>
              <c:f>'South West beamers u250kW'!$B$165</c:f>
              <c:strCache>
                <c:ptCount val="1"/>
                <c:pt idx="0">
                  <c:v>Cuttlefish</c:v>
                </c:pt>
              </c:strCache>
            </c:strRef>
          </c:tx>
          <c:spPr>
            <a:solidFill>
              <a:srgbClr val="648C2E"/>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u250kW'!$C$165:$E$165</c:f>
              <c:numCache>
                <c:formatCode>0%</c:formatCode>
                <c:ptCount val="3"/>
                <c:pt idx="0">
                  <c:v>0.19402210029299816</c:v>
                </c:pt>
                <c:pt idx="1">
                  <c:v>0.15561368571349965</c:v>
                </c:pt>
                <c:pt idx="2">
                  <c:v>8.4582378429107388E-2</c:v>
                </c:pt>
              </c:numCache>
            </c:numRef>
          </c:val>
          <c:extLst>
            <c:ext xmlns:c16="http://schemas.microsoft.com/office/drawing/2014/chart" uri="{C3380CC4-5D6E-409C-BE32-E72D297353CC}">
              <c16:uniqueId val="{00000002-1759-446F-8B0E-026B1CC81510}"/>
            </c:ext>
          </c:extLst>
        </c:ser>
        <c:ser>
          <c:idx val="3"/>
          <c:order val="3"/>
          <c:tx>
            <c:strRef>
              <c:f>'South West beamers u250kW'!$B$166</c:f>
              <c:strCache>
                <c:ptCount val="1"/>
                <c:pt idx="0">
                  <c:v>Plaice</c:v>
                </c:pt>
              </c:strCache>
            </c:strRef>
          </c:tx>
          <c:spPr>
            <a:solidFill>
              <a:srgbClr val="C1D119"/>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u250kW'!$C$166:$E$166</c:f>
              <c:numCache>
                <c:formatCode>0%</c:formatCode>
                <c:ptCount val="3"/>
                <c:pt idx="0">
                  <c:v>9.7150511209468174E-2</c:v>
                </c:pt>
                <c:pt idx="1">
                  <c:v>0.13566194888564648</c:v>
                </c:pt>
                <c:pt idx="2">
                  <c:v>9.6971519588333124E-2</c:v>
                </c:pt>
              </c:numCache>
            </c:numRef>
          </c:val>
          <c:extLst>
            <c:ext xmlns:c16="http://schemas.microsoft.com/office/drawing/2014/chart" uri="{C3380CC4-5D6E-409C-BE32-E72D297353CC}">
              <c16:uniqueId val="{00000003-1759-446F-8B0E-026B1CC81510}"/>
            </c:ext>
          </c:extLst>
        </c:ser>
        <c:ser>
          <c:idx val="4"/>
          <c:order val="4"/>
          <c:tx>
            <c:strRef>
              <c:f>'South West beamers u250kW'!$B$167</c:f>
              <c:strCache>
                <c:ptCount val="1"/>
                <c:pt idx="0">
                  <c:v>Lemon Sole</c:v>
                </c:pt>
              </c:strCache>
            </c:strRef>
          </c:tx>
          <c:spPr>
            <a:solidFill>
              <a:srgbClr val="FED825"/>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u250kW'!$C$167:$E$167</c:f>
              <c:numCache>
                <c:formatCode>0%</c:formatCode>
                <c:ptCount val="3"/>
                <c:pt idx="0">
                  <c:v>0</c:v>
                </c:pt>
                <c:pt idx="1">
                  <c:v>6.586777791443521E-2</c:v>
                </c:pt>
                <c:pt idx="2">
                  <c:v>0</c:v>
                </c:pt>
              </c:numCache>
            </c:numRef>
          </c:val>
          <c:extLst>
            <c:ext xmlns:c16="http://schemas.microsoft.com/office/drawing/2014/chart" uri="{C3380CC4-5D6E-409C-BE32-E72D297353CC}">
              <c16:uniqueId val="{00000004-1759-446F-8B0E-026B1CC81510}"/>
            </c:ext>
          </c:extLst>
        </c:ser>
        <c:ser>
          <c:idx val="5"/>
          <c:order val="5"/>
          <c:tx>
            <c:strRef>
              <c:f>'South West beamers u250kW'!$B$168</c:f>
              <c:strCache>
                <c:ptCount val="1"/>
                <c:pt idx="0">
                  <c:v>Scallops</c:v>
                </c:pt>
              </c:strCache>
            </c:strRef>
          </c:tx>
          <c:spPr>
            <a:solidFill>
              <a:srgbClr val="0F9AA9"/>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u250kW'!$C$168:$E$168</c:f>
              <c:numCache>
                <c:formatCode>0%</c:formatCode>
                <c:ptCount val="3"/>
                <c:pt idx="0">
                  <c:v>8.6359660964511101E-2</c:v>
                </c:pt>
                <c:pt idx="1">
                  <c:v>0</c:v>
                </c:pt>
                <c:pt idx="2">
                  <c:v>0.2451038905213197</c:v>
                </c:pt>
              </c:numCache>
            </c:numRef>
          </c:val>
          <c:extLst>
            <c:ext xmlns:c16="http://schemas.microsoft.com/office/drawing/2014/chart" uri="{C3380CC4-5D6E-409C-BE32-E72D297353CC}">
              <c16:uniqueId val="{00000005-1759-446F-8B0E-026B1CC81510}"/>
            </c:ext>
          </c:extLst>
        </c:ser>
        <c:ser>
          <c:idx val="6"/>
          <c:order val="6"/>
          <c:tx>
            <c:strRef>
              <c:f>'South West beamers u250kW'!$B$169</c:f>
              <c:strCache>
                <c:ptCount val="1"/>
                <c:pt idx="0">
                  <c:v>Others</c:v>
                </c:pt>
              </c:strCache>
            </c:strRef>
          </c:tx>
          <c:spPr>
            <a:solidFill>
              <a:srgbClr val="55585A"/>
            </a:solidFill>
            <a:ln>
              <a:solidFill>
                <a:srgbClr val="FFFFFF"/>
              </a:solidFill>
            </a:ln>
          </c:spPr>
          <c:invertIfNegative val="0"/>
          <c:cat>
            <c:strRef>
              <c:f>'South West beamers u250kW'!$C$162:$E$162</c:f>
              <c:strCache>
                <c:ptCount val="3"/>
                <c:pt idx="0">
                  <c:v>Most
profitable
quartile</c:v>
                </c:pt>
                <c:pt idx="1">
                  <c:v>Middle 
two quartiles</c:v>
                </c:pt>
                <c:pt idx="2">
                  <c:v>Least
profitable
quartile</c:v>
                </c:pt>
              </c:strCache>
            </c:strRef>
          </c:cat>
          <c:val>
            <c:numRef>
              <c:f>'South West beamers u250kW'!$C$169:$E$169</c:f>
              <c:numCache>
                <c:formatCode>0%</c:formatCode>
                <c:ptCount val="3"/>
                <c:pt idx="0">
                  <c:v>0.37842152372146098</c:v>
                </c:pt>
                <c:pt idx="1">
                  <c:v>0.21345893413323269</c:v>
                </c:pt>
                <c:pt idx="2">
                  <c:v>0.2669614177865115</c:v>
                </c:pt>
              </c:numCache>
            </c:numRef>
          </c:val>
          <c:extLst>
            <c:ext xmlns:c16="http://schemas.microsoft.com/office/drawing/2014/chart" uri="{C3380CC4-5D6E-409C-BE32-E72D297353CC}">
              <c16:uniqueId val="{00000006-1759-446F-8B0E-026B1CC81510}"/>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u250kW'!$H$163</c:f>
              <c:strCache>
                <c:ptCount val="1"/>
                <c:pt idx="0">
                  <c:v>Sole</c:v>
                </c:pt>
              </c:strCache>
            </c:strRef>
          </c:tx>
          <c:spPr>
            <a:solidFill>
              <a:srgbClr val="2273B9"/>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u250kW'!$I$163:$K$163</c:f>
              <c:numCache>
                <c:formatCode>0%</c:formatCode>
                <c:ptCount val="3"/>
                <c:pt idx="0">
                  <c:v>0.27448197837235982</c:v>
                </c:pt>
                <c:pt idx="1">
                  <c:v>0.4601747547306263</c:v>
                </c:pt>
                <c:pt idx="2">
                  <c:v>0.42728007100447091</c:v>
                </c:pt>
              </c:numCache>
            </c:numRef>
          </c:val>
          <c:extLst>
            <c:ext xmlns:c16="http://schemas.microsoft.com/office/drawing/2014/chart" uri="{C3380CC4-5D6E-409C-BE32-E72D297353CC}">
              <c16:uniqueId val="{00000000-79A0-4120-A847-76050CFEE12C}"/>
            </c:ext>
          </c:extLst>
        </c:ser>
        <c:ser>
          <c:idx val="1"/>
          <c:order val="1"/>
          <c:tx>
            <c:strRef>
              <c:f>'South West beamers u250kW'!$H$164</c:f>
              <c:strCache>
                <c:ptCount val="1"/>
                <c:pt idx="0">
                  <c:v>Anglerfish</c:v>
                </c:pt>
              </c:strCache>
            </c:strRef>
          </c:tx>
          <c:spPr>
            <a:solidFill>
              <a:srgbClr val="E87308"/>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u250kW'!$I$164:$K$164</c:f>
              <c:numCache>
                <c:formatCode>0%</c:formatCode>
                <c:ptCount val="3"/>
                <c:pt idx="0">
                  <c:v>0.15179132891052027</c:v>
                </c:pt>
                <c:pt idx="1">
                  <c:v>0.16322701578001175</c:v>
                </c:pt>
                <c:pt idx="2">
                  <c:v>0.14180878866745444</c:v>
                </c:pt>
              </c:numCache>
            </c:numRef>
          </c:val>
          <c:extLst>
            <c:ext xmlns:c16="http://schemas.microsoft.com/office/drawing/2014/chart" uri="{C3380CC4-5D6E-409C-BE32-E72D297353CC}">
              <c16:uniqueId val="{00000001-79A0-4120-A847-76050CFEE12C}"/>
            </c:ext>
          </c:extLst>
        </c:ser>
        <c:ser>
          <c:idx val="2"/>
          <c:order val="2"/>
          <c:tx>
            <c:strRef>
              <c:f>'South West beamers u250kW'!$H$165</c:f>
              <c:strCache>
                <c:ptCount val="1"/>
                <c:pt idx="0">
                  <c:v>Cuttlefish</c:v>
                </c:pt>
              </c:strCache>
            </c:strRef>
          </c:tx>
          <c:spPr>
            <a:solidFill>
              <a:srgbClr val="648C2E"/>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u250kW'!$I$165:$K$165</c:f>
              <c:numCache>
                <c:formatCode>0%</c:formatCode>
                <c:ptCount val="3"/>
                <c:pt idx="0">
                  <c:v>0.16329893738612591</c:v>
                </c:pt>
                <c:pt idx="1">
                  <c:v>0.10169554046924932</c:v>
                </c:pt>
                <c:pt idx="2">
                  <c:v>6.1890057768806711E-2</c:v>
                </c:pt>
              </c:numCache>
            </c:numRef>
          </c:val>
          <c:extLst>
            <c:ext xmlns:c16="http://schemas.microsoft.com/office/drawing/2014/chart" uri="{C3380CC4-5D6E-409C-BE32-E72D297353CC}">
              <c16:uniqueId val="{00000002-79A0-4120-A847-76050CFEE12C}"/>
            </c:ext>
          </c:extLst>
        </c:ser>
        <c:ser>
          <c:idx val="3"/>
          <c:order val="3"/>
          <c:tx>
            <c:strRef>
              <c:f>'South West beamers u250kW'!$H$166</c:f>
              <c:strCache>
                <c:ptCount val="1"/>
                <c:pt idx="0">
                  <c:v>Plaice</c:v>
                </c:pt>
              </c:strCache>
            </c:strRef>
          </c:tx>
          <c:spPr>
            <a:solidFill>
              <a:srgbClr val="C1D119"/>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u250kW'!$I$166:$K$166</c:f>
              <c:numCache>
                <c:formatCode>0%</c:formatCode>
                <c:ptCount val="3"/>
                <c:pt idx="0">
                  <c:v>7.2583312597003846E-2</c:v>
                </c:pt>
                <c:pt idx="1">
                  <c:v>7.3789931818912316E-2</c:v>
                </c:pt>
                <c:pt idx="2">
                  <c:v>5.3560482998178283E-2</c:v>
                </c:pt>
              </c:numCache>
            </c:numRef>
          </c:val>
          <c:extLst>
            <c:ext xmlns:c16="http://schemas.microsoft.com/office/drawing/2014/chart" uri="{C3380CC4-5D6E-409C-BE32-E72D297353CC}">
              <c16:uniqueId val="{00000003-79A0-4120-A847-76050CFEE12C}"/>
            </c:ext>
          </c:extLst>
        </c:ser>
        <c:ser>
          <c:idx val="4"/>
          <c:order val="4"/>
          <c:tx>
            <c:strRef>
              <c:f>'South West beamers u250kW'!$H$167</c:f>
              <c:strCache>
                <c:ptCount val="1"/>
                <c:pt idx="0">
                  <c:v>Lemon Sole</c:v>
                </c:pt>
              </c:strCache>
            </c:strRef>
          </c:tx>
          <c:spPr>
            <a:solidFill>
              <a:srgbClr val="FED825"/>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u250kW'!$I$167:$K$167</c:f>
              <c:numCache>
                <c:formatCode>0%</c:formatCode>
                <c:ptCount val="3"/>
                <c:pt idx="0">
                  <c:v>0</c:v>
                </c:pt>
                <c:pt idx="1">
                  <c:v>5.7345188888665112E-2</c:v>
                </c:pt>
                <c:pt idx="2">
                  <c:v>0</c:v>
                </c:pt>
              </c:numCache>
            </c:numRef>
          </c:val>
          <c:extLst>
            <c:ext xmlns:c16="http://schemas.microsoft.com/office/drawing/2014/chart" uri="{C3380CC4-5D6E-409C-BE32-E72D297353CC}">
              <c16:uniqueId val="{00000004-79A0-4120-A847-76050CFEE12C}"/>
            </c:ext>
          </c:extLst>
        </c:ser>
        <c:ser>
          <c:idx val="5"/>
          <c:order val="5"/>
          <c:tx>
            <c:strRef>
              <c:f>'South West beamers u250kW'!$H$168</c:f>
              <c:strCache>
                <c:ptCount val="1"/>
                <c:pt idx="0">
                  <c:v>Scallops</c:v>
                </c:pt>
              </c:strCache>
            </c:strRef>
          </c:tx>
          <c:spPr>
            <a:solidFill>
              <a:srgbClr val="0F9AA9"/>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u250kW'!$I$168:$K$168</c:f>
              <c:numCache>
                <c:formatCode>0%</c:formatCode>
                <c:ptCount val="3"/>
                <c:pt idx="0">
                  <c:v>0</c:v>
                </c:pt>
                <c:pt idx="1">
                  <c:v>0</c:v>
                </c:pt>
                <c:pt idx="2">
                  <c:v>0.12544489127181477</c:v>
                </c:pt>
              </c:numCache>
            </c:numRef>
          </c:val>
          <c:extLst>
            <c:ext xmlns:c16="http://schemas.microsoft.com/office/drawing/2014/chart" uri="{C3380CC4-5D6E-409C-BE32-E72D297353CC}">
              <c16:uniqueId val="{00000005-79A0-4120-A847-76050CFEE12C}"/>
            </c:ext>
          </c:extLst>
        </c:ser>
        <c:ser>
          <c:idx val="6"/>
          <c:order val="6"/>
          <c:tx>
            <c:strRef>
              <c:f>'South West beamers u250kW'!$H$169</c:f>
              <c:strCache>
                <c:ptCount val="1"/>
                <c:pt idx="0">
                  <c:v>Turbot</c:v>
                </c:pt>
              </c:strCache>
            </c:strRef>
          </c:tx>
          <c:spPr>
            <a:solidFill>
              <a:srgbClr val="E84A38"/>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u250kW'!$I$169:$K$169</c:f>
              <c:numCache>
                <c:formatCode>0%</c:formatCode>
                <c:ptCount val="3"/>
                <c:pt idx="0">
                  <c:v>6.3035129099466902E-2</c:v>
                </c:pt>
                <c:pt idx="1">
                  <c:v>0</c:v>
                </c:pt>
                <c:pt idx="2">
                  <c:v>0</c:v>
                </c:pt>
              </c:numCache>
            </c:numRef>
          </c:val>
          <c:extLst>
            <c:ext xmlns:c16="http://schemas.microsoft.com/office/drawing/2014/chart" uri="{C3380CC4-5D6E-409C-BE32-E72D297353CC}">
              <c16:uniqueId val="{00000006-79A0-4120-A847-76050CFEE12C}"/>
            </c:ext>
          </c:extLst>
        </c:ser>
        <c:ser>
          <c:idx val="7"/>
          <c:order val="7"/>
          <c:tx>
            <c:strRef>
              <c:f>'South West beamers u250kW'!$H$170</c:f>
              <c:strCache>
                <c:ptCount val="1"/>
                <c:pt idx="0">
                  <c:v>Others</c:v>
                </c:pt>
              </c:strCache>
            </c:strRef>
          </c:tx>
          <c:spPr>
            <a:solidFill>
              <a:srgbClr val="55585A"/>
            </a:solidFill>
            <a:ln>
              <a:solidFill>
                <a:srgbClr val="FFFFFF"/>
              </a:solidFill>
            </a:ln>
          </c:spPr>
          <c:invertIfNegative val="0"/>
          <c:cat>
            <c:strRef>
              <c:f>'South West beamers u250kW'!$I$162:$K$162</c:f>
              <c:strCache>
                <c:ptCount val="3"/>
                <c:pt idx="0">
                  <c:v>Most
profitable
quartile</c:v>
                </c:pt>
                <c:pt idx="1">
                  <c:v>Middle 
two quartiles</c:v>
                </c:pt>
                <c:pt idx="2">
                  <c:v>Least
profitable
quartile</c:v>
                </c:pt>
              </c:strCache>
            </c:strRef>
          </c:cat>
          <c:val>
            <c:numRef>
              <c:f>'South West beamers u250kW'!$I$170:$K$170</c:f>
              <c:numCache>
                <c:formatCode>0%</c:formatCode>
                <c:ptCount val="3"/>
                <c:pt idx="0">
                  <c:v>0.27480931363452332</c:v>
                </c:pt>
                <c:pt idx="1">
                  <c:v>0.14376756831253512</c:v>
                </c:pt>
                <c:pt idx="2">
                  <c:v>0.19001570828927483</c:v>
                </c:pt>
              </c:numCache>
            </c:numRef>
          </c:val>
          <c:extLst>
            <c:ext xmlns:c16="http://schemas.microsoft.com/office/drawing/2014/chart" uri="{C3380CC4-5D6E-409C-BE32-E72D297353CC}">
              <c16:uniqueId val="{00000007-79A0-4120-A847-76050CFEE12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u250kW'!$K$140</c:f>
              <c:strCache>
                <c:ptCount val="1"/>
                <c:pt idx="0">
                  <c:v>Total income</c:v>
                </c:pt>
              </c:strCache>
            </c:strRef>
          </c:tx>
          <c:spPr>
            <a:solidFill>
              <a:srgbClr val="087CBB"/>
            </a:solidFill>
            <a:ln>
              <a:solidFill>
                <a:schemeClr val="accent1"/>
              </a:solidFill>
            </a:ln>
          </c:spPr>
          <c:invertIfNegative val="0"/>
          <c:cat>
            <c:strRef>
              <c:f>'South West beamers u250kW'!$L$139:$N$139</c:f>
              <c:strCache>
                <c:ptCount val="3"/>
                <c:pt idx="0">
                  <c:v>Most
profitable
quartile</c:v>
                </c:pt>
                <c:pt idx="1">
                  <c:v>Middle
two quartiles</c:v>
                </c:pt>
                <c:pt idx="2">
                  <c:v>Least
profitable
quartile</c:v>
                </c:pt>
              </c:strCache>
            </c:strRef>
          </c:cat>
          <c:val>
            <c:numRef>
              <c:f>'South West beamers u250kW'!$L$140:$N$140</c:f>
              <c:numCache>
                <c:formatCode>#,##0</c:formatCode>
                <c:ptCount val="3"/>
                <c:pt idx="0">
                  <c:v>1010.849</c:v>
                </c:pt>
                <c:pt idx="1">
                  <c:v>658.426640625</c:v>
                </c:pt>
                <c:pt idx="2">
                  <c:v>507.36034375000003</c:v>
                </c:pt>
              </c:numCache>
            </c:numRef>
          </c:val>
          <c:extLst>
            <c:ext xmlns:c16="http://schemas.microsoft.com/office/drawing/2014/chart" uri="{C3380CC4-5D6E-409C-BE32-E72D297353CC}">
              <c16:uniqueId val="{00000000-271E-41D5-83B4-446F8286F9CE}"/>
            </c:ext>
          </c:extLst>
        </c:ser>
        <c:ser>
          <c:idx val="1"/>
          <c:order val="1"/>
          <c:tx>
            <c:strRef>
              <c:f>'South West beamers u250kW'!$K$141</c:f>
              <c:strCache>
                <c:ptCount val="1"/>
                <c:pt idx="0">
                  <c:v>Operating costs</c:v>
                </c:pt>
              </c:strCache>
            </c:strRef>
          </c:tx>
          <c:spPr>
            <a:solidFill>
              <a:srgbClr val="E87308"/>
            </a:solidFill>
          </c:spPr>
          <c:invertIfNegative val="0"/>
          <c:cat>
            <c:strRef>
              <c:f>'South West beamers u250kW'!$L$139:$N$139</c:f>
              <c:strCache>
                <c:ptCount val="3"/>
                <c:pt idx="0">
                  <c:v>Most
profitable
quartile</c:v>
                </c:pt>
                <c:pt idx="1">
                  <c:v>Middle
two quartiles</c:v>
                </c:pt>
                <c:pt idx="2">
                  <c:v>Least
profitable
quartile</c:v>
                </c:pt>
              </c:strCache>
            </c:strRef>
          </c:cat>
          <c:val>
            <c:numRef>
              <c:f>'South West beamers u250kW'!$L$141:$N$141</c:f>
              <c:numCache>
                <c:formatCode>#,##0</c:formatCode>
                <c:ptCount val="3"/>
                <c:pt idx="0">
                  <c:v>785.570875</c:v>
                </c:pt>
                <c:pt idx="1">
                  <c:v>537.61504687499996</c:v>
                </c:pt>
                <c:pt idx="2">
                  <c:v>434.22309374999998</c:v>
                </c:pt>
              </c:numCache>
            </c:numRef>
          </c:val>
          <c:extLst>
            <c:ext xmlns:c16="http://schemas.microsoft.com/office/drawing/2014/chart" uri="{C3380CC4-5D6E-409C-BE32-E72D297353CC}">
              <c16:uniqueId val="{00000001-271E-41D5-83B4-446F8286F9CE}"/>
            </c:ext>
          </c:extLst>
        </c:ser>
        <c:ser>
          <c:idx val="2"/>
          <c:order val="2"/>
          <c:tx>
            <c:strRef>
              <c:f>'South West beamers u250kW'!$K$142</c:f>
              <c:strCache>
                <c:ptCount val="1"/>
                <c:pt idx="0">
                  <c:v>Operating profit</c:v>
                </c:pt>
              </c:strCache>
            </c:strRef>
          </c:tx>
          <c:spPr>
            <a:solidFill>
              <a:srgbClr val="51AA81"/>
            </a:solidFill>
          </c:spPr>
          <c:invertIfNegative val="0"/>
          <c:cat>
            <c:strRef>
              <c:f>'South West beamers u250kW'!$L$139:$N$139</c:f>
              <c:strCache>
                <c:ptCount val="3"/>
                <c:pt idx="0">
                  <c:v>Most
profitable
quartile</c:v>
                </c:pt>
                <c:pt idx="1">
                  <c:v>Middle
two quartiles</c:v>
                </c:pt>
                <c:pt idx="2">
                  <c:v>Least
profitable
quartile</c:v>
                </c:pt>
              </c:strCache>
            </c:strRef>
          </c:cat>
          <c:val>
            <c:numRef>
              <c:f>'South West beamers u250kW'!$L$142:$N$142</c:f>
              <c:numCache>
                <c:formatCode>#,##0</c:formatCode>
                <c:ptCount val="3"/>
                <c:pt idx="0">
                  <c:v>225.27812499999999</c:v>
                </c:pt>
                <c:pt idx="1">
                  <c:v>120.81159375</c:v>
                </c:pt>
                <c:pt idx="2">
                  <c:v>73.137249999999995</c:v>
                </c:pt>
              </c:numCache>
            </c:numRef>
          </c:val>
          <c:extLst>
            <c:ext xmlns:c16="http://schemas.microsoft.com/office/drawing/2014/chart" uri="{C3380CC4-5D6E-409C-BE32-E72D297353CC}">
              <c16:uniqueId val="{00000002-271E-41D5-83B4-446F8286F9CE}"/>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'South West beamers u250kW'!$K$143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15m'!$A$49</c:f>
          <c:strCache>
            <c:ptCount val="1"/>
            <c:pt idx="0">
              <c:v>Landings per kW day at sea (kg)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5043-43B5-A209-712C1EC41633}"/>
              </c:ext>
            </c:extLst>
          </c:dPt>
          <c:dPt>
            <c:idx val="10"/>
            <c:bubble3D val="0"/>
            <c:spPr>
              <a:ln w="57150">
                <a:solidFill>
                  <a:srgbClr val="2273B9"/>
                </a:solidFill>
                <a:prstDash val="sysDot"/>
              </a:ln>
            </c:spPr>
            <c:extLst>
              <c:ext xmlns:c16="http://schemas.microsoft.com/office/drawing/2014/chart" uri="{C3380CC4-5D6E-409C-BE32-E72D297353CC}">
                <c16:uniqueId val="{00000003-5043-43B5-A209-712C1EC41633}"/>
              </c:ext>
            </c:extLst>
          </c:dPt>
          <c:cat>
            <c:numRef>
              <c:f>'UK scallop dredge over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over 15m'!$D$22:$N$22</c:f>
              <c:numCache>
                <c:formatCode>#,##0.00</c:formatCode>
                <c:ptCount val="11"/>
                <c:pt idx="0">
                  <c:v>7.7030880411259215</c:v>
                </c:pt>
                <c:pt idx="1">
                  <c:v>5.2875592330166423</c:v>
                </c:pt>
                <c:pt idx="2">
                  <c:v>4.0658175216277659</c:v>
                </c:pt>
                <c:pt idx="3">
                  <c:v>4.2058223622219728</c:v>
                </c:pt>
                <c:pt idx="4">
                  <c:v>3.8946911967839917</c:v>
                </c:pt>
                <c:pt idx="5">
                  <c:v>3.3415645772300331</c:v>
                </c:pt>
                <c:pt idx="6">
                  <c:v>3.1436624503306545</c:v>
                </c:pt>
                <c:pt idx="7">
                  <c:v>3.4878966002781686</c:v>
                </c:pt>
                <c:pt idx="8">
                  <c:v>4.1344751431872568</c:v>
                </c:pt>
                <c:pt idx="9">
                  <c:v>4.5746036938013788</c:v>
                </c:pt>
                <c:pt idx="10">
                  <c:v>4.7921588942669748</c:v>
                </c:pt>
              </c:numCache>
            </c:numRef>
          </c:val>
          <c:smooth val="0"/>
          <c:extLst>
            <c:ext xmlns:c16="http://schemas.microsoft.com/office/drawing/2014/chart" uri="{C3380CC4-5D6E-409C-BE32-E72D297353CC}">
              <c16:uniqueId val="{00000004-5043-43B5-A209-712C1EC41633}"/>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15m'!$A$50</c:f>
          <c:strCache>
            <c:ptCount val="1"/>
            <c:pt idx="0">
              <c:v>Fishing income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417-4EED-A382-9D0D696006DA}"/>
              </c:ext>
            </c:extLst>
          </c:dPt>
          <c:dPt>
            <c:idx val="10"/>
            <c:bubble3D val="0"/>
            <c:spPr>
              <a:ln w="57150">
                <a:solidFill>
                  <a:srgbClr val="648C2E"/>
                </a:solidFill>
                <a:prstDash val="sysDot"/>
              </a:ln>
            </c:spPr>
            <c:extLst>
              <c:ext xmlns:c16="http://schemas.microsoft.com/office/drawing/2014/chart" uri="{C3380CC4-5D6E-409C-BE32-E72D297353CC}">
                <c16:uniqueId val="{00000003-C417-4EED-A382-9D0D696006DA}"/>
              </c:ext>
            </c:extLst>
          </c:dPt>
          <c:cat>
            <c:numRef>
              <c:f>'UK scallop dredge over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over 15m'!$D$23:$N$23</c:f>
              <c:numCache>
                <c:formatCode>#,##0.00</c:formatCode>
                <c:ptCount val="11"/>
                <c:pt idx="0">
                  <c:v>9.1893535183833901</c:v>
                </c:pt>
                <c:pt idx="1">
                  <c:v>7.67919537564888</c:v>
                </c:pt>
                <c:pt idx="2">
                  <c:v>7.2056173531382903</c:v>
                </c:pt>
                <c:pt idx="3">
                  <c:v>7.36102500720789</c:v>
                </c:pt>
                <c:pt idx="4">
                  <c:v>8.2297543544782492</c:v>
                </c:pt>
                <c:pt idx="5">
                  <c:v>8.4956852842424002</c:v>
                </c:pt>
                <c:pt idx="6">
                  <c:v>8.3830410459857507</c:v>
                </c:pt>
                <c:pt idx="7">
                  <c:v>7.8334702227490798</c:v>
                </c:pt>
                <c:pt idx="8">
                  <c:v>7.0731342355921898</c:v>
                </c:pt>
                <c:pt idx="9">
                  <c:v>7.8881817808860104</c:v>
                </c:pt>
                <c:pt idx="10">
                  <c:v>8.792740884260926</c:v>
                </c:pt>
              </c:numCache>
            </c:numRef>
          </c:val>
          <c:smooth val="0"/>
          <c:extLst>
            <c:ext xmlns:c16="http://schemas.microsoft.com/office/drawing/2014/chart" uri="{C3380CC4-5D6E-409C-BE32-E72D297353CC}">
              <c16:uniqueId val="{00000004-C417-4EED-A382-9D0D696006DA}"/>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15m'!$B$63</c:f>
          <c:strCache>
            <c:ptCount val="1"/>
            <c:pt idx="0">
              <c:v>Total cost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38A-4C7C-ADB6-E6134111EB4D}"/>
              </c:ext>
            </c:extLst>
          </c:dPt>
          <c:dPt>
            <c:idx val="10"/>
            <c:bubble3D val="0"/>
            <c:spPr>
              <a:ln w="57150">
                <a:solidFill>
                  <a:srgbClr val="087CBB"/>
                </a:solidFill>
                <a:prstDash val="sysDot"/>
              </a:ln>
            </c:spPr>
            <c:extLst>
              <c:ext xmlns:c16="http://schemas.microsoft.com/office/drawing/2014/chart" uri="{C3380CC4-5D6E-409C-BE32-E72D297353CC}">
                <c16:uniqueId val="{00000003-638A-4C7C-ADB6-E6134111EB4D}"/>
              </c:ext>
            </c:extLst>
          </c:dPt>
          <c:cat>
            <c:numRef>
              <c:f>'UK scallop dredge over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over 15m'!$D$24:$N$24</c:f>
              <c:numCache>
                <c:formatCode>#,##0.00</c:formatCode>
                <c:ptCount val="11"/>
                <c:pt idx="0">
                  <c:v>7.2923221552163904</c:v>
                </c:pt>
                <c:pt idx="1">
                  <c:v>6.3819825629990001</c:v>
                </c:pt>
                <c:pt idx="2">
                  <c:v>6.1330326225970904</c:v>
                </c:pt>
                <c:pt idx="3">
                  <c:v>6.0624453368324902</c:v>
                </c:pt>
                <c:pt idx="4">
                  <c:v>7.1864248017643897</c:v>
                </c:pt>
                <c:pt idx="5">
                  <c:v>7.1186697059560604</c:v>
                </c:pt>
                <c:pt idx="6">
                  <c:v>8.3079852332745094</c:v>
                </c:pt>
                <c:pt idx="7">
                  <c:v>6.8106589951225001</c:v>
                </c:pt>
                <c:pt idx="8">
                  <c:v>6.4307978722943604</c:v>
                </c:pt>
                <c:pt idx="9">
                  <c:v>6.63552632455617</c:v>
                </c:pt>
                <c:pt idx="10">
                  <c:v>7.8632420751448224</c:v>
                </c:pt>
              </c:numCache>
            </c:numRef>
          </c:val>
          <c:smooth val="0"/>
          <c:extLst>
            <c:ext xmlns:c16="http://schemas.microsoft.com/office/drawing/2014/chart" uri="{C3380CC4-5D6E-409C-BE32-E72D297353CC}">
              <c16:uniqueId val="{00000004-638A-4C7C-ADB6-E6134111EB4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15m'!$K$49</c:f>
          <c:strCache>
            <c:ptCount val="1"/>
            <c:pt idx="0">
              <c:v>Operating profit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B9E8-4A57-A32A-2F3309EE382B}"/>
              </c:ext>
            </c:extLst>
          </c:dPt>
          <c:dPt>
            <c:idx val="10"/>
            <c:bubble3D val="0"/>
            <c:spPr>
              <a:ln w="57150">
                <a:solidFill>
                  <a:schemeClr val="accent3"/>
                </a:solidFill>
                <a:prstDash val="sysDot"/>
              </a:ln>
            </c:spPr>
            <c:extLst>
              <c:ext xmlns:c16="http://schemas.microsoft.com/office/drawing/2014/chart" uri="{C3380CC4-5D6E-409C-BE32-E72D297353CC}">
                <c16:uniqueId val="{00000003-B9E8-4A57-A32A-2F3309EE382B}"/>
              </c:ext>
            </c:extLst>
          </c:dPt>
          <c:cat>
            <c:numRef>
              <c:f>'UK scallop dredge over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over 15m'!$D$25:$N$25</c:f>
              <c:numCache>
                <c:formatCode>#,##0.00</c:formatCode>
                <c:ptCount val="11"/>
                <c:pt idx="0">
                  <c:v>2.0492479017028198</c:v>
                </c:pt>
                <c:pt idx="1">
                  <c:v>1.37384935461205</c:v>
                </c:pt>
                <c:pt idx="2">
                  <c:v>1.1397552368250701</c:v>
                </c:pt>
                <c:pt idx="3">
                  <c:v>1.41852005564435</c:v>
                </c:pt>
                <c:pt idx="4">
                  <c:v>1.08022130783035</c:v>
                </c:pt>
                <c:pt idx="5">
                  <c:v>1.70590702159654</c:v>
                </c:pt>
                <c:pt idx="6">
                  <c:v>0.14493476313124301</c:v>
                </c:pt>
                <c:pt idx="7">
                  <c:v>1.22452188544749</c:v>
                </c:pt>
                <c:pt idx="8">
                  <c:v>1.0629610239281899</c:v>
                </c:pt>
                <c:pt idx="9">
                  <c:v>1.3388718311164101</c:v>
                </c:pt>
                <c:pt idx="10">
                  <c:v>1.0250924160305841</c:v>
                </c:pt>
              </c:numCache>
            </c:numRef>
          </c:val>
          <c:smooth val="0"/>
          <c:extLst>
            <c:ext xmlns:c16="http://schemas.microsoft.com/office/drawing/2014/chart" uri="{C3380CC4-5D6E-409C-BE32-E72D297353CC}">
              <c16:uniqueId val="{00000004-B9E8-4A57-A32A-2F3309EE382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15m'!$A$51</c:f>
          <c:strCache>
            <c:ptCount val="1"/>
            <c:pt idx="0">
              <c:v>Average price per tonne landed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07ED-4ABE-8733-EE561CA8CA8E}"/>
              </c:ext>
            </c:extLst>
          </c:dPt>
          <c:dPt>
            <c:idx val="10"/>
            <c:bubble3D val="0"/>
            <c:spPr>
              <a:ln w="57150">
                <a:solidFill>
                  <a:schemeClr val="accent4"/>
                </a:solidFill>
                <a:prstDash val="sysDot"/>
              </a:ln>
            </c:spPr>
            <c:extLst>
              <c:ext xmlns:c16="http://schemas.microsoft.com/office/drawing/2014/chart" uri="{C3380CC4-5D6E-409C-BE32-E72D297353CC}">
                <c16:uniqueId val="{00000003-07ED-4ABE-8733-EE561CA8CA8E}"/>
              </c:ext>
            </c:extLst>
          </c:dPt>
          <c:cat>
            <c:numRef>
              <c:f>'UK scallop dredge over 15m'!$D$2:$M$2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15m'!$D$21:$N$21</c:f>
              <c:numCache>
                <c:formatCode>#,##0</c:formatCode>
                <c:ptCount val="11"/>
                <c:pt idx="0">
                  <c:v>1193</c:v>
                </c:pt>
                <c:pt idx="1">
                  <c:v>1452</c:v>
                </c:pt>
                <c:pt idx="2">
                  <c:v>1772</c:v>
                </c:pt>
                <c:pt idx="3">
                  <c:v>1750</c:v>
                </c:pt>
                <c:pt idx="4">
                  <c:v>2113</c:v>
                </c:pt>
                <c:pt idx="5">
                  <c:v>2542</c:v>
                </c:pt>
                <c:pt idx="6">
                  <c:v>2667</c:v>
                </c:pt>
                <c:pt idx="7">
                  <c:v>2246</c:v>
                </c:pt>
                <c:pt idx="8">
                  <c:v>1711</c:v>
                </c:pt>
                <c:pt idx="9">
                  <c:v>1724</c:v>
                </c:pt>
                <c:pt idx="10">
                  <c:v>1835</c:v>
                </c:pt>
              </c:numCache>
            </c:numRef>
          </c:val>
          <c:smooth val="0"/>
          <c:extLst>
            <c:ext xmlns:c16="http://schemas.microsoft.com/office/drawing/2014/chart" uri="{C3380CC4-5D6E-409C-BE32-E72D297353CC}">
              <c16:uniqueId val="{00000004-07ED-4ABE-8733-EE561CA8CA8E}"/>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u250kW'!$B$63</c:f>
          <c:strCache>
            <c:ptCount val="1"/>
            <c:pt idx="0">
              <c:v>Total cost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E7BD-4172-B1C6-EFD926AAED27}"/>
              </c:ext>
            </c:extLst>
          </c:dPt>
          <c:dPt>
            <c:idx val="10"/>
            <c:bubble3D val="0"/>
            <c:spPr>
              <a:ln w="57150">
                <a:solidFill>
                  <a:srgbClr val="087CBB"/>
                </a:solidFill>
                <a:prstDash val="sysDot"/>
              </a:ln>
            </c:spPr>
            <c:extLst>
              <c:ext xmlns:c16="http://schemas.microsoft.com/office/drawing/2014/chart" uri="{C3380CC4-5D6E-409C-BE32-E72D297353CC}">
                <c16:uniqueId val="{00000003-E7BD-4172-B1C6-EFD926AAED27}"/>
              </c:ext>
            </c:extLst>
          </c:dPt>
          <c:cat>
            <c:numRef>
              <c:f>'Area VIIa nephrops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u250kW'!$D$24:$N$24</c:f>
              <c:numCache>
                <c:formatCode>#,##0.00</c:formatCode>
                <c:ptCount val="11"/>
                <c:pt idx="0">
                  <c:v>6.8874912408175097</c:v>
                </c:pt>
                <c:pt idx="1">
                  <c:v>5.4725722908605396</c:v>
                </c:pt>
                <c:pt idx="2">
                  <c:v>5.62035022935732</c:v>
                </c:pt>
                <c:pt idx="3">
                  <c:v>6.1574109303693403</c:v>
                </c:pt>
                <c:pt idx="4">
                  <c:v>6.36798200091543</c:v>
                </c:pt>
                <c:pt idx="5">
                  <c:v>6.6457201224183997</c:v>
                </c:pt>
                <c:pt idx="6">
                  <c:v>6.2075886839028804</c:v>
                </c:pt>
                <c:pt idx="7">
                  <c:v>7.2171502577612303</c:v>
                </c:pt>
                <c:pt idx="8">
                  <c:v>5.9334646252929302</c:v>
                </c:pt>
                <c:pt idx="9">
                  <c:v>5.4776631161000697</c:v>
                </c:pt>
                <c:pt idx="10">
                  <c:v>7.6619703465695972</c:v>
                </c:pt>
              </c:numCache>
            </c:numRef>
          </c:val>
          <c:smooth val="0"/>
          <c:extLst>
            <c:ext xmlns:c16="http://schemas.microsoft.com/office/drawing/2014/chart" uri="{C3380CC4-5D6E-409C-BE32-E72D297353CC}">
              <c16:uniqueId val="{00000004-E7BD-4172-B1C6-EFD926AAED27}"/>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15m'!$K$63</c:f>
          <c:strCache>
            <c:ptCount val="1"/>
            <c:pt idx="0">
              <c:v>Average annual operating profit per vessel (£'000)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3AC1-451E-BEDD-CFD71F26D725}"/>
              </c:ext>
            </c:extLst>
          </c:dPt>
          <c:dPt>
            <c:idx val="10"/>
            <c:bubble3D val="0"/>
            <c:spPr>
              <a:ln w="57150">
                <a:solidFill>
                  <a:schemeClr val="accent5"/>
                </a:solidFill>
                <a:prstDash val="sysDot"/>
              </a:ln>
            </c:spPr>
            <c:extLst>
              <c:ext xmlns:c16="http://schemas.microsoft.com/office/drawing/2014/chart" uri="{C3380CC4-5D6E-409C-BE32-E72D297353CC}">
                <c16:uniqueId val="{00000003-3AC1-451E-BEDD-CFD71F26D725}"/>
              </c:ext>
            </c:extLst>
          </c:dPt>
          <c:cat>
            <c:numRef>
              <c:f>'UK scallop dredge over 15m'!$D$2:$M$2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15m'!$D$38:$N$38</c:f>
              <c:numCache>
                <c:formatCode>#,##0.0</c:formatCode>
                <c:ptCount val="11"/>
                <c:pt idx="0">
                  <c:v>148</c:v>
                </c:pt>
                <c:pt idx="1">
                  <c:v>97</c:v>
                </c:pt>
                <c:pt idx="2">
                  <c:v>78.400000000000006</c:v>
                </c:pt>
                <c:pt idx="3">
                  <c:v>103.2</c:v>
                </c:pt>
                <c:pt idx="4">
                  <c:v>80.400000000000006</c:v>
                </c:pt>
                <c:pt idx="5">
                  <c:v>115.8</c:v>
                </c:pt>
                <c:pt idx="6">
                  <c:v>10</c:v>
                </c:pt>
                <c:pt idx="7">
                  <c:v>86.2</c:v>
                </c:pt>
                <c:pt idx="8">
                  <c:v>62.3</c:v>
                </c:pt>
                <c:pt idx="9">
                  <c:v>99.7</c:v>
                </c:pt>
                <c:pt idx="10">
                  <c:v>72.600000000000009</c:v>
                </c:pt>
              </c:numCache>
            </c:numRef>
          </c:val>
          <c:smooth val="0"/>
          <c:extLst>
            <c:ext xmlns:c16="http://schemas.microsoft.com/office/drawing/2014/chart" uri="{C3380CC4-5D6E-409C-BE32-E72D297353CC}">
              <c16:uniqueId val="{00000004-3AC1-451E-BEDD-CFD71F26D725}"/>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15m'!$A$77</c:f>
          <c:strCache>
            <c:ptCount val="1"/>
            <c:pt idx="0">
              <c:v>Top 5 landed species by volume in 2021
UK scallop dredge over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ED5-40FE-9AC9-B2B587211F17}"/>
              </c:ext>
            </c:extLst>
          </c:dPt>
          <c:dPt>
            <c:idx val="1"/>
            <c:bubble3D val="0"/>
            <c:spPr>
              <a:solidFill>
                <a:srgbClr val="E87308"/>
              </a:solidFill>
              <a:ln>
                <a:solidFill>
                  <a:srgbClr val="FFFFFF"/>
                </a:solidFill>
              </a:ln>
            </c:spPr>
            <c:extLst>
              <c:ext xmlns:c16="http://schemas.microsoft.com/office/drawing/2014/chart" uri="{C3380CC4-5D6E-409C-BE32-E72D297353CC}">
                <c16:uniqueId val="{00000003-3ED5-40FE-9AC9-B2B587211F17}"/>
              </c:ext>
            </c:extLst>
          </c:dPt>
          <c:dPt>
            <c:idx val="2"/>
            <c:bubble3D val="0"/>
            <c:spPr>
              <a:solidFill>
                <a:srgbClr val="C1D119"/>
              </a:solidFill>
              <a:ln>
                <a:solidFill>
                  <a:srgbClr val="FFFFFF"/>
                </a:solidFill>
              </a:ln>
            </c:spPr>
            <c:extLst>
              <c:ext xmlns:c16="http://schemas.microsoft.com/office/drawing/2014/chart" uri="{C3380CC4-5D6E-409C-BE32-E72D297353CC}">
                <c16:uniqueId val="{00000005-3ED5-40FE-9AC9-B2B587211F17}"/>
              </c:ext>
            </c:extLst>
          </c:dPt>
          <c:dPt>
            <c:idx val="3"/>
            <c:bubble3D val="0"/>
            <c:spPr>
              <a:solidFill>
                <a:srgbClr val="0F9AA9"/>
              </a:solidFill>
              <a:ln>
                <a:solidFill>
                  <a:srgbClr val="FFFFFF"/>
                </a:solidFill>
              </a:ln>
            </c:spPr>
            <c:extLst>
              <c:ext xmlns:c16="http://schemas.microsoft.com/office/drawing/2014/chart" uri="{C3380CC4-5D6E-409C-BE32-E72D297353CC}">
                <c16:uniqueId val="{00000007-3ED5-40FE-9AC9-B2B587211F17}"/>
              </c:ext>
            </c:extLst>
          </c:dPt>
          <c:dPt>
            <c:idx val="4"/>
            <c:bubble3D val="0"/>
            <c:spPr>
              <a:solidFill>
                <a:srgbClr val="FED825"/>
              </a:solidFill>
              <a:ln>
                <a:solidFill>
                  <a:srgbClr val="FFFFFF"/>
                </a:solidFill>
              </a:ln>
            </c:spPr>
            <c:extLst>
              <c:ext xmlns:c16="http://schemas.microsoft.com/office/drawing/2014/chart" uri="{C3380CC4-5D6E-409C-BE32-E72D297353CC}">
                <c16:uniqueId val="{00000009-3ED5-40FE-9AC9-B2B587211F17}"/>
              </c:ext>
            </c:extLst>
          </c:dPt>
          <c:dPt>
            <c:idx val="5"/>
            <c:bubble3D val="0"/>
            <c:spPr>
              <a:solidFill>
                <a:srgbClr val="55585A"/>
              </a:solidFill>
              <a:ln>
                <a:solidFill>
                  <a:srgbClr val="FFFFFF"/>
                </a:solidFill>
              </a:ln>
            </c:spPr>
            <c:extLst>
              <c:ext xmlns:c16="http://schemas.microsoft.com/office/drawing/2014/chart" uri="{C3380CC4-5D6E-409C-BE32-E72D297353CC}">
                <c16:uniqueId val="{0000000B-3ED5-40FE-9AC9-B2B587211F17}"/>
              </c:ext>
            </c:extLst>
          </c:dPt>
          <c:cat>
            <c:strRef>
              <c:f>'UK scallop dredge over 15m'!$B$78:$B$83</c:f>
              <c:strCache>
                <c:ptCount val="6"/>
                <c:pt idx="0">
                  <c:v>Scallops - 87.7%</c:v>
                </c:pt>
                <c:pt idx="1">
                  <c:v>Queen Scallops - 10.0%</c:v>
                </c:pt>
                <c:pt idx="2">
                  <c:v>Anglerfish - 0.5%</c:v>
                </c:pt>
                <c:pt idx="3">
                  <c:v>Cuttlefish - 0.4%</c:v>
                </c:pt>
                <c:pt idx="4">
                  <c:v>Nephrops - 0.2%</c:v>
                </c:pt>
                <c:pt idx="5">
                  <c:v>Others - 1.1%</c:v>
                </c:pt>
              </c:strCache>
            </c:strRef>
          </c:cat>
          <c:val>
            <c:numRef>
              <c:f>'UK scallop dredge over 15m'!$C$78:$C$83</c:f>
              <c:numCache>
                <c:formatCode>0.0%</c:formatCode>
                <c:ptCount val="6"/>
                <c:pt idx="0">
                  <c:v>0.87692524592533361</c:v>
                </c:pt>
                <c:pt idx="1">
                  <c:v>0.10027228382194077</c:v>
                </c:pt>
                <c:pt idx="2">
                  <c:v>5.3754867810269493E-3</c:v>
                </c:pt>
                <c:pt idx="3">
                  <c:v>4.1796440856594445E-3</c:v>
                </c:pt>
                <c:pt idx="4">
                  <c:v>2.2272310438689528E-3</c:v>
                </c:pt>
                <c:pt idx="5">
                  <c:v>1.1020108342170376E-2</c:v>
                </c:pt>
              </c:numCache>
            </c:numRef>
          </c:val>
          <c:extLst>
            <c:ext xmlns:c16="http://schemas.microsoft.com/office/drawing/2014/chart" uri="{C3380CC4-5D6E-409C-BE32-E72D297353CC}">
              <c16:uniqueId val="{0000000C-3ED5-40FE-9AC9-B2B587211F1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15m'!$F$77</c:f>
          <c:strCache>
            <c:ptCount val="1"/>
            <c:pt idx="0">
              <c:v>Top 5 landed species by value in 2021
UK scallop dredge over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81A-452F-B6BD-CD39AA6E2F42}"/>
              </c:ext>
            </c:extLst>
          </c:dPt>
          <c:dPt>
            <c:idx val="1"/>
            <c:bubble3D val="0"/>
            <c:spPr>
              <a:solidFill>
                <a:srgbClr val="E87308"/>
              </a:solidFill>
              <a:ln>
                <a:solidFill>
                  <a:srgbClr val="FFFFFF"/>
                </a:solidFill>
              </a:ln>
            </c:spPr>
            <c:extLst>
              <c:ext xmlns:c16="http://schemas.microsoft.com/office/drawing/2014/chart" uri="{C3380CC4-5D6E-409C-BE32-E72D297353CC}">
                <c16:uniqueId val="{00000003-D81A-452F-B6BD-CD39AA6E2F42}"/>
              </c:ext>
            </c:extLst>
          </c:dPt>
          <c:dPt>
            <c:idx val="2"/>
            <c:bubble3D val="0"/>
            <c:spPr>
              <a:solidFill>
                <a:srgbClr val="648C2E"/>
              </a:solidFill>
              <a:ln>
                <a:solidFill>
                  <a:srgbClr val="FFFFFF"/>
                </a:solidFill>
              </a:ln>
            </c:spPr>
            <c:extLst>
              <c:ext xmlns:c16="http://schemas.microsoft.com/office/drawing/2014/chart" uri="{C3380CC4-5D6E-409C-BE32-E72D297353CC}">
                <c16:uniqueId val="{00000005-D81A-452F-B6BD-CD39AA6E2F42}"/>
              </c:ext>
            </c:extLst>
          </c:dPt>
          <c:dPt>
            <c:idx val="3"/>
            <c:bubble3D val="0"/>
            <c:spPr>
              <a:solidFill>
                <a:srgbClr val="C1D119"/>
              </a:solidFill>
              <a:ln>
                <a:solidFill>
                  <a:srgbClr val="FFFFFF"/>
                </a:solidFill>
              </a:ln>
            </c:spPr>
            <c:extLst>
              <c:ext xmlns:c16="http://schemas.microsoft.com/office/drawing/2014/chart" uri="{C3380CC4-5D6E-409C-BE32-E72D297353CC}">
                <c16:uniqueId val="{00000007-D81A-452F-B6BD-CD39AA6E2F42}"/>
              </c:ext>
            </c:extLst>
          </c:dPt>
          <c:dPt>
            <c:idx val="4"/>
            <c:bubble3D val="0"/>
            <c:spPr>
              <a:solidFill>
                <a:srgbClr val="E84A38"/>
              </a:solidFill>
              <a:ln>
                <a:solidFill>
                  <a:srgbClr val="FFFFFF"/>
                </a:solidFill>
              </a:ln>
            </c:spPr>
            <c:extLst>
              <c:ext xmlns:c16="http://schemas.microsoft.com/office/drawing/2014/chart" uri="{C3380CC4-5D6E-409C-BE32-E72D297353CC}">
                <c16:uniqueId val="{00000009-D81A-452F-B6BD-CD39AA6E2F42}"/>
              </c:ext>
            </c:extLst>
          </c:dPt>
          <c:dPt>
            <c:idx val="5"/>
            <c:bubble3D val="0"/>
            <c:spPr>
              <a:solidFill>
                <a:srgbClr val="55585A"/>
              </a:solidFill>
              <a:ln>
                <a:solidFill>
                  <a:srgbClr val="FFFFFF"/>
                </a:solidFill>
              </a:ln>
            </c:spPr>
            <c:extLst>
              <c:ext xmlns:c16="http://schemas.microsoft.com/office/drawing/2014/chart" uri="{C3380CC4-5D6E-409C-BE32-E72D297353CC}">
                <c16:uniqueId val="{0000000B-D81A-452F-B6BD-CD39AA6E2F42}"/>
              </c:ext>
            </c:extLst>
          </c:dPt>
          <c:cat>
            <c:strRef>
              <c:f>'UK scallop dredge over 15m'!$G$78:$G$83</c:f>
              <c:strCache>
                <c:ptCount val="6"/>
                <c:pt idx="0">
                  <c:v>Scallops - 91.5%</c:v>
                </c:pt>
                <c:pt idx="1">
                  <c:v>Queen Scallops - 3.9%</c:v>
                </c:pt>
                <c:pt idx="2">
                  <c:v>Sole - 0.9%</c:v>
                </c:pt>
                <c:pt idx="3">
                  <c:v>Anglerfish - 0.8%</c:v>
                </c:pt>
                <c:pt idx="4">
                  <c:v>Turbot - 0.8%</c:v>
                </c:pt>
                <c:pt idx="5">
                  <c:v>Others - 2.1%</c:v>
                </c:pt>
              </c:strCache>
            </c:strRef>
          </c:cat>
          <c:val>
            <c:numRef>
              <c:f>'UK scallop dredge over 15m'!$H$78:$H$83</c:f>
              <c:numCache>
                <c:formatCode>0.0%</c:formatCode>
                <c:ptCount val="6"/>
                <c:pt idx="0">
                  <c:v>0.91450611712493934</c:v>
                </c:pt>
                <c:pt idx="1">
                  <c:v>3.8818115943922371E-2</c:v>
                </c:pt>
                <c:pt idx="2">
                  <c:v>8.8471066532403043E-3</c:v>
                </c:pt>
                <c:pt idx="3">
                  <c:v>8.4890361513773847E-3</c:v>
                </c:pt>
                <c:pt idx="4">
                  <c:v>8.3095984085012325E-3</c:v>
                </c:pt>
                <c:pt idx="5">
                  <c:v>2.1030025718019374E-2</c:v>
                </c:pt>
              </c:numCache>
            </c:numRef>
          </c:val>
          <c:extLst>
            <c:ext xmlns:c16="http://schemas.microsoft.com/office/drawing/2014/chart" uri="{C3380CC4-5D6E-409C-BE32-E72D297353CC}">
              <c16:uniqueId val="{0000000C-D81A-452F-B6BD-CD39AA6E2F4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over 15m'!$C$93</c:f>
              <c:strCache>
                <c:ptCount val="1"/>
                <c:pt idx="0">
                  <c:v>Scallops</c:v>
                </c:pt>
              </c:strCache>
            </c:strRef>
          </c:tx>
          <c:spPr>
            <a:solidFill>
              <a:srgbClr val="2273B9"/>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15m'!$D$93:$M$93</c:f>
              <c:numCache>
                <c:formatCode>0%</c:formatCode>
                <c:ptCount val="10"/>
                <c:pt idx="0">
                  <c:v>0.79901777150529618</c:v>
                </c:pt>
                <c:pt idx="1">
                  <c:v>0.83114711652369411</c:v>
                </c:pt>
                <c:pt idx="2">
                  <c:v>0.79259469551252393</c:v>
                </c:pt>
                <c:pt idx="3">
                  <c:v>0.79584920294556671</c:v>
                </c:pt>
                <c:pt idx="4">
                  <c:v>0.88740391827838339</c:v>
                </c:pt>
                <c:pt idx="5">
                  <c:v>0.91241102815141917</c:v>
                </c:pt>
                <c:pt idx="6">
                  <c:v>0.89170093393548455</c:v>
                </c:pt>
                <c:pt idx="7">
                  <c:v>0.93240670973167361</c:v>
                </c:pt>
                <c:pt idx="8">
                  <c:v>0.91450611712493934</c:v>
                </c:pt>
                <c:pt idx="9">
                  <c:v>0.92672122516657274</c:v>
                </c:pt>
              </c:numCache>
            </c:numRef>
          </c:val>
          <c:extLst>
            <c:ext xmlns:c16="http://schemas.microsoft.com/office/drawing/2014/chart" uri="{C3380CC4-5D6E-409C-BE32-E72D297353CC}">
              <c16:uniqueId val="{00000000-B574-48EF-B27A-EC53641BC61A}"/>
            </c:ext>
          </c:extLst>
        </c:ser>
        <c:ser>
          <c:idx val="1"/>
          <c:order val="1"/>
          <c:tx>
            <c:strRef>
              <c:f>'UK scallop dredge over 15m'!$C$94</c:f>
              <c:strCache>
                <c:ptCount val="1"/>
                <c:pt idx="0">
                  <c:v>Queen Scallops</c:v>
                </c:pt>
              </c:strCache>
            </c:strRef>
          </c:tx>
          <c:spPr>
            <a:solidFill>
              <a:srgbClr val="E87308"/>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15m'!$D$94:$M$94</c:f>
              <c:numCache>
                <c:formatCode>0%</c:formatCode>
                <c:ptCount val="10"/>
                <c:pt idx="0">
                  <c:v>0.14143028998800206</c:v>
                </c:pt>
                <c:pt idx="1">
                  <c:v>9.9747224544622481E-2</c:v>
                </c:pt>
                <c:pt idx="2">
                  <c:v>0.14612373647606963</c:v>
                </c:pt>
                <c:pt idx="3">
                  <c:v>0.14749854097694443</c:v>
                </c:pt>
                <c:pt idx="4">
                  <c:v>9.7584305911160463E-2</c:v>
                </c:pt>
                <c:pt idx="5">
                  <c:v>7.1585914122192854E-2</c:v>
                </c:pt>
                <c:pt idx="6">
                  <c:v>8.369093681070261E-2</c:v>
                </c:pt>
                <c:pt idx="7">
                  <c:v>4.4960489066847714E-2</c:v>
                </c:pt>
                <c:pt idx="8">
                  <c:v>3.8818115943922371E-2</c:v>
                </c:pt>
                <c:pt idx="9">
                  <c:v>4.3740866412132567E-2</c:v>
                </c:pt>
              </c:numCache>
            </c:numRef>
          </c:val>
          <c:extLst>
            <c:ext xmlns:c16="http://schemas.microsoft.com/office/drawing/2014/chart" uri="{C3380CC4-5D6E-409C-BE32-E72D297353CC}">
              <c16:uniqueId val="{00000001-B574-48EF-B27A-EC53641BC61A}"/>
            </c:ext>
          </c:extLst>
        </c:ser>
        <c:ser>
          <c:idx val="2"/>
          <c:order val="2"/>
          <c:tx>
            <c:strRef>
              <c:f>'UK scallop dredge over 15m'!$C$95</c:f>
              <c:strCache>
                <c:ptCount val="1"/>
                <c:pt idx="0">
                  <c:v>Sole</c:v>
                </c:pt>
              </c:strCache>
            </c:strRef>
          </c:tx>
          <c:spPr>
            <a:solidFill>
              <a:srgbClr val="648C2E"/>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15m'!$D$95:$M$95</c:f>
              <c:numCache>
                <c:formatCode>0%</c:formatCode>
                <c:ptCount val="10"/>
                <c:pt idx="1">
                  <c:v>9.0569956140306787E-3</c:v>
                </c:pt>
                <c:pt idx="7">
                  <c:v>5.2858564957468769E-3</c:v>
                </c:pt>
                <c:pt idx="8">
                  <c:v>8.8471066532403043E-3</c:v>
                </c:pt>
                <c:pt idx="9">
                  <c:v>8.8750813727626436E-3</c:v>
                </c:pt>
              </c:numCache>
            </c:numRef>
          </c:val>
          <c:extLst>
            <c:ext xmlns:c16="http://schemas.microsoft.com/office/drawing/2014/chart" uri="{C3380CC4-5D6E-409C-BE32-E72D297353CC}">
              <c16:uniqueId val="{00000002-B574-48EF-B27A-EC53641BC61A}"/>
            </c:ext>
          </c:extLst>
        </c:ser>
        <c:ser>
          <c:idx val="3"/>
          <c:order val="3"/>
          <c:tx>
            <c:strRef>
              <c:f>'UK scallop dredge over 15m'!$C$96</c:f>
              <c:strCache>
                <c:ptCount val="1"/>
                <c:pt idx="0">
                  <c:v>Anglerfish</c:v>
                </c:pt>
              </c:strCache>
            </c:strRef>
          </c:tx>
          <c:spPr>
            <a:solidFill>
              <a:srgbClr val="C1D119"/>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15m'!$D$96:$M$96</c:f>
              <c:numCache>
                <c:formatCode>0%</c:formatCode>
                <c:ptCount val="10"/>
                <c:pt idx="0">
                  <c:v>8.7840802869751169E-3</c:v>
                </c:pt>
                <c:pt idx="4">
                  <c:v>1.5537085751953326E-3</c:v>
                </c:pt>
                <c:pt idx="5">
                  <c:v>1.967011720073986E-3</c:v>
                </c:pt>
                <c:pt idx="6">
                  <c:v>4.5736288630958107E-3</c:v>
                </c:pt>
                <c:pt idx="7">
                  <c:v>4.9503547244337774E-3</c:v>
                </c:pt>
                <c:pt idx="8">
                  <c:v>8.4890361513773847E-3</c:v>
                </c:pt>
                <c:pt idx="9">
                  <c:v>7.413987115139061E-3</c:v>
                </c:pt>
              </c:numCache>
            </c:numRef>
          </c:val>
          <c:extLst>
            <c:ext xmlns:c16="http://schemas.microsoft.com/office/drawing/2014/chart" uri="{C3380CC4-5D6E-409C-BE32-E72D297353CC}">
              <c16:uniqueId val="{00000003-B574-48EF-B27A-EC53641BC61A}"/>
            </c:ext>
          </c:extLst>
        </c:ser>
        <c:ser>
          <c:idx val="4"/>
          <c:order val="4"/>
          <c:tx>
            <c:strRef>
              <c:f>'UK scallop dredge over 15m'!$C$97</c:f>
              <c:strCache>
                <c:ptCount val="1"/>
                <c:pt idx="0">
                  <c:v>Turbot</c:v>
                </c:pt>
              </c:strCache>
            </c:strRef>
          </c:tx>
          <c:spPr>
            <a:solidFill>
              <a:srgbClr val="E84A38"/>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15m'!$D$97:$M$97</c:f>
              <c:numCache>
                <c:formatCode>0%</c:formatCode>
                <c:ptCount val="10"/>
                <c:pt idx="0">
                  <c:v>8.8085085627958894E-3</c:v>
                </c:pt>
                <c:pt idx="1">
                  <c:v>1.1164988204088492E-2</c:v>
                </c:pt>
                <c:pt idx="2">
                  <c:v>8.4611288348846059E-3</c:v>
                </c:pt>
                <c:pt idx="3">
                  <c:v>5.8927068412786493E-3</c:v>
                </c:pt>
                <c:pt idx="4">
                  <c:v>2.8462973882323974E-3</c:v>
                </c:pt>
                <c:pt idx="5">
                  <c:v>3.3503510907827586E-3</c:v>
                </c:pt>
                <c:pt idx="6">
                  <c:v>5.2357866573824628E-3</c:v>
                </c:pt>
                <c:pt idx="7">
                  <c:v>5.6892318619085362E-3</c:v>
                </c:pt>
                <c:pt idx="8">
                  <c:v>8.3095984085012325E-3</c:v>
                </c:pt>
                <c:pt idx="9">
                  <c:v>5.2383751221155746E-3</c:v>
                </c:pt>
              </c:numCache>
            </c:numRef>
          </c:val>
          <c:extLst>
            <c:ext xmlns:c16="http://schemas.microsoft.com/office/drawing/2014/chart" uri="{C3380CC4-5D6E-409C-BE32-E72D297353CC}">
              <c16:uniqueId val="{00000004-B574-48EF-B27A-EC53641BC61A}"/>
            </c:ext>
          </c:extLst>
        </c:ser>
        <c:ser>
          <c:idx val="5"/>
          <c:order val="5"/>
          <c:tx>
            <c:strRef>
              <c:f>'UK scallop dredge over 15m'!$C$98</c:f>
              <c:strCache>
                <c:ptCount val="1"/>
                <c:pt idx="0">
                  <c:v>Nephrops</c:v>
                </c:pt>
              </c:strCache>
            </c:strRef>
          </c:tx>
          <c:spPr>
            <a:solidFill>
              <a:srgbClr val="0F9AA9"/>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15m'!$D$98:$M$98</c:f>
              <c:numCache>
                <c:formatCode>0%</c:formatCode>
                <c:ptCount val="10"/>
                <c:pt idx="2">
                  <c:v>9.6434653571174662E-3</c:v>
                </c:pt>
                <c:pt idx="3">
                  <c:v>7.1042553329203834E-3</c:v>
                </c:pt>
                <c:pt idx="4">
                  <c:v>5.8188997482963266E-3</c:v>
                </c:pt>
                <c:pt idx="5">
                  <c:v>5.0503557209503891E-3</c:v>
                </c:pt>
                <c:pt idx="6">
                  <c:v>5.478208732486051E-3</c:v>
                </c:pt>
              </c:numCache>
            </c:numRef>
          </c:val>
          <c:extLst>
            <c:ext xmlns:c16="http://schemas.microsoft.com/office/drawing/2014/chart" uri="{C3380CC4-5D6E-409C-BE32-E72D297353CC}">
              <c16:uniqueId val="{00000005-B574-48EF-B27A-EC53641BC61A}"/>
            </c:ext>
          </c:extLst>
        </c:ser>
        <c:ser>
          <c:idx val="6"/>
          <c:order val="6"/>
          <c:tx>
            <c:strRef>
              <c:f>'UK scallop dredge over 15m'!$C$99</c:f>
              <c:strCache>
                <c:ptCount val="1"/>
                <c:pt idx="0">
                  <c:v>Cuttlefish</c:v>
                </c:pt>
              </c:strCache>
            </c:strRef>
          </c:tx>
          <c:spPr>
            <a:solidFill>
              <a:srgbClr val="FED825"/>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15m'!$D$99:$M$99</c:f>
              <c:numCache>
                <c:formatCode>0%</c:formatCode>
                <c:ptCount val="10"/>
                <c:pt idx="0">
                  <c:v>9.9812839249130945E-3</c:v>
                </c:pt>
                <c:pt idx="1">
                  <c:v>1.1887377220047688E-2</c:v>
                </c:pt>
                <c:pt idx="2">
                  <c:v>1.9312969058454935E-2</c:v>
                </c:pt>
                <c:pt idx="3">
                  <c:v>2.2116514880261277E-2</c:v>
                </c:pt>
              </c:numCache>
            </c:numRef>
          </c:val>
          <c:extLst>
            <c:ext xmlns:c16="http://schemas.microsoft.com/office/drawing/2014/chart" uri="{C3380CC4-5D6E-409C-BE32-E72D297353CC}">
              <c16:uniqueId val="{00000006-B574-48EF-B27A-EC53641BC61A}"/>
            </c:ext>
          </c:extLst>
        </c:ser>
        <c:ser>
          <c:idx val="7"/>
          <c:order val="7"/>
          <c:tx>
            <c:strRef>
              <c:f>'UK scallop dredge over 15m'!$C$100</c:f>
              <c:strCache>
                <c:ptCount val="1"/>
                <c:pt idx="0">
                  <c:v>Others</c:v>
                </c:pt>
              </c:strCache>
            </c:strRef>
          </c:tx>
          <c:spPr>
            <a:solidFill>
              <a:srgbClr val="55585A"/>
            </a:solidFill>
            <a:ln>
              <a:solidFill>
                <a:srgbClr val="FFFFFF"/>
              </a:solidFill>
            </a:ln>
          </c:spPr>
          <c:invertIfNegative val="0"/>
          <c:cat>
            <c:numRef>
              <c:f>'UK scallop dredge over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over 15m'!$D$100:$M$100</c:f>
              <c:numCache>
                <c:formatCode>0%</c:formatCode>
                <c:ptCount val="10"/>
                <c:pt idx="0">
                  <c:v>3.1978065732017613E-2</c:v>
                </c:pt>
                <c:pt idx="1">
                  <c:v>3.6996297893516515E-2</c:v>
                </c:pt>
                <c:pt idx="2">
                  <c:v>2.3864004760949405E-2</c:v>
                </c:pt>
                <c:pt idx="3">
                  <c:v>2.1538779023028531E-2</c:v>
                </c:pt>
                <c:pt idx="4">
                  <c:v>4.7928700987321339E-3</c:v>
                </c:pt>
                <c:pt idx="5">
                  <c:v>5.6353391945808276E-3</c:v>
                </c:pt>
                <c:pt idx="6">
                  <c:v>9.3205050008485293E-3</c:v>
                </c:pt>
                <c:pt idx="7">
                  <c:v>6.7073581193894645E-3</c:v>
                </c:pt>
                <c:pt idx="8">
                  <c:v>2.103002571801936E-2</c:v>
                </c:pt>
                <c:pt idx="9">
                  <c:v>8.0104648112773891E-3</c:v>
                </c:pt>
              </c:numCache>
            </c:numRef>
          </c:val>
          <c:extLst>
            <c:ext xmlns:c16="http://schemas.microsoft.com/office/drawing/2014/chart" uri="{C3380CC4-5D6E-409C-BE32-E72D297353CC}">
              <c16:uniqueId val="{00000007-B574-48EF-B27A-EC53641BC61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over 15m'!$B$163</c:f>
              <c:strCache>
                <c:ptCount val="1"/>
                <c:pt idx="0">
                  <c:v>Scallops</c:v>
                </c:pt>
              </c:strCache>
            </c:strRef>
          </c:tx>
          <c:spPr>
            <a:solidFill>
              <a:srgbClr val="2273B9"/>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15m'!$C$163:$E$163</c:f>
              <c:numCache>
                <c:formatCode>0%</c:formatCode>
                <c:ptCount val="3"/>
                <c:pt idx="0">
                  <c:v>0.90579602617287691</c:v>
                </c:pt>
                <c:pt idx="1">
                  <c:v>0.84619519527391662</c:v>
                </c:pt>
                <c:pt idx="2">
                  <c:v>0.87243161639094569</c:v>
                </c:pt>
              </c:numCache>
            </c:numRef>
          </c:val>
          <c:extLst>
            <c:ext xmlns:c16="http://schemas.microsoft.com/office/drawing/2014/chart" uri="{C3380CC4-5D6E-409C-BE32-E72D297353CC}">
              <c16:uniqueId val="{00000000-1D3F-43FA-93A2-6C18CCCE9E0A}"/>
            </c:ext>
          </c:extLst>
        </c:ser>
        <c:ser>
          <c:idx val="1"/>
          <c:order val="1"/>
          <c:tx>
            <c:strRef>
              <c:f>'UK scallop dredge over 15m'!$B$164</c:f>
              <c:strCache>
                <c:ptCount val="1"/>
                <c:pt idx="0">
                  <c:v>Queen Scallops</c:v>
                </c:pt>
              </c:strCache>
            </c:strRef>
          </c:tx>
          <c:spPr>
            <a:solidFill>
              <a:srgbClr val="E87308"/>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15m'!$C$164:$E$164</c:f>
              <c:numCache>
                <c:formatCode>0%</c:formatCode>
                <c:ptCount val="3"/>
                <c:pt idx="0">
                  <c:v>6.9788459892686727E-2</c:v>
                </c:pt>
                <c:pt idx="1">
                  <c:v>0.13757953552526758</c:v>
                </c:pt>
                <c:pt idx="2">
                  <c:v>8.1956523133627432E-2</c:v>
                </c:pt>
              </c:numCache>
            </c:numRef>
          </c:val>
          <c:extLst>
            <c:ext xmlns:c16="http://schemas.microsoft.com/office/drawing/2014/chart" uri="{C3380CC4-5D6E-409C-BE32-E72D297353CC}">
              <c16:uniqueId val="{00000001-1D3F-43FA-93A2-6C18CCCE9E0A}"/>
            </c:ext>
          </c:extLst>
        </c:ser>
        <c:ser>
          <c:idx val="2"/>
          <c:order val="2"/>
          <c:tx>
            <c:strRef>
              <c:f>'UK scallop dredge over 15m'!$B$165</c:f>
              <c:strCache>
                <c:ptCount val="1"/>
                <c:pt idx="0">
                  <c:v>Nephrops</c:v>
                </c:pt>
              </c:strCache>
            </c:strRef>
          </c:tx>
          <c:spPr>
            <a:solidFill>
              <a:srgbClr val="FED825"/>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15m'!$C$165:$E$165</c:f>
              <c:numCache>
                <c:formatCode>0%</c:formatCode>
                <c:ptCount val="3"/>
                <c:pt idx="0">
                  <c:v>0</c:v>
                </c:pt>
                <c:pt idx="1">
                  <c:v>3.882881482358211E-3</c:v>
                </c:pt>
                <c:pt idx="2">
                  <c:v>8.0420868540651037E-3</c:v>
                </c:pt>
              </c:numCache>
            </c:numRef>
          </c:val>
          <c:extLst>
            <c:ext xmlns:c16="http://schemas.microsoft.com/office/drawing/2014/chart" uri="{C3380CC4-5D6E-409C-BE32-E72D297353CC}">
              <c16:uniqueId val="{00000002-1D3F-43FA-93A2-6C18CCCE9E0A}"/>
            </c:ext>
          </c:extLst>
        </c:ser>
        <c:ser>
          <c:idx val="3"/>
          <c:order val="3"/>
          <c:tx>
            <c:strRef>
              <c:f>'UK scallop dredge over 15m'!$B$166</c:f>
              <c:strCache>
                <c:ptCount val="1"/>
                <c:pt idx="0">
                  <c:v>Anglerfish</c:v>
                </c:pt>
              </c:strCache>
            </c:strRef>
          </c:tx>
          <c:spPr>
            <a:solidFill>
              <a:srgbClr val="C1D119"/>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15m'!$C$166:$E$166</c:f>
              <c:numCache>
                <c:formatCode>0%</c:formatCode>
                <c:ptCount val="3"/>
                <c:pt idx="0">
                  <c:v>7.8394074028604026E-3</c:v>
                </c:pt>
                <c:pt idx="1">
                  <c:v>3.0426332023209927E-3</c:v>
                </c:pt>
                <c:pt idx="2">
                  <c:v>0</c:v>
                </c:pt>
              </c:numCache>
            </c:numRef>
          </c:val>
          <c:extLst>
            <c:ext xmlns:c16="http://schemas.microsoft.com/office/drawing/2014/chart" uri="{C3380CC4-5D6E-409C-BE32-E72D297353CC}">
              <c16:uniqueId val="{00000003-1D3F-43FA-93A2-6C18CCCE9E0A}"/>
            </c:ext>
          </c:extLst>
        </c:ser>
        <c:ser>
          <c:idx val="4"/>
          <c:order val="4"/>
          <c:tx>
            <c:strRef>
              <c:f>'UK scallop dredge over 15m'!$B$167</c:f>
              <c:strCache>
                <c:ptCount val="1"/>
                <c:pt idx="0">
                  <c:v>Cuttlefish</c:v>
                </c:pt>
              </c:strCache>
            </c:strRef>
          </c:tx>
          <c:spPr>
            <a:solidFill>
              <a:srgbClr val="0F9AA9"/>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15m'!$C$167:$E$167</c:f>
              <c:numCache>
                <c:formatCode>0%</c:formatCode>
                <c:ptCount val="3"/>
                <c:pt idx="0">
                  <c:v>6.2276426369546342E-3</c:v>
                </c:pt>
                <c:pt idx="1">
                  <c:v>2.4549032731470658E-3</c:v>
                </c:pt>
                <c:pt idx="2">
                  <c:v>0</c:v>
                </c:pt>
              </c:numCache>
            </c:numRef>
          </c:val>
          <c:extLst>
            <c:ext xmlns:c16="http://schemas.microsoft.com/office/drawing/2014/chart" uri="{C3380CC4-5D6E-409C-BE32-E72D297353CC}">
              <c16:uniqueId val="{00000004-1D3F-43FA-93A2-6C18CCCE9E0A}"/>
            </c:ext>
          </c:extLst>
        </c:ser>
        <c:ser>
          <c:idx val="5"/>
          <c:order val="5"/>
          <c:tx>
            <c:strRef>
              <c:f>'UK scallop dredge over 15m'!$B$168</c:f>
              <c:strCache>
                <c:ptCount val="1"/>
                <c:pt idx="0">
                  <c:v>Cod</c:v>
                </c:pt>
              </c:strCache>
            </c:strRef>
          </c:tx>
          <c:spPr>
            <a:solidFill>
              <a:srgbClr val="707271"/>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15m'!$C$168:$E$168</c:f>
              <c:numCache>
                <c:formatCode>0%</c:formatCode>
                <c:ptCount val="3"/>
                <c:pt idx="0">
                  <c:v>0</c:v>
                </c:pt>
                <c:pt idx="1">
                  <c:v>0</c:v>
                </c:pt>
                <c:pt idx="2">
                  <c:v>1.7862979543609481E-2</c:v>
                </c:pt>
              </c:numCache>
            </c:numRef>
          </c:val>
          <c:extLst>
            <c:ext xmlns:c16="http://schemas.microsoft.com/office/drawing/2014/chart" uri="{C3380CC4-5D6E-409C-BE32-E72D297353CC}">
              <c16:uniqueId val="{00000005-1D3F-43FA-93A2-6C18CCCE9E0A}"/>
            </c:ext>
          </c:extLst>
        </c:ser>
        <c:ser>
          <c:idx val="6"/>
          <c:order val="6"/>
          <c:tx>
            <c:strRef>
              <c:f>'UK scallop dredge over 15m'!$B$169</c:f>
              <c:strCache>
                <c:ptCount val="1"/>
                <c:pt idx="0">
                  <c:v>Haddock</c:v>
                </c:pt>
              </c:strCache>
            </c:strRef>
          </c:tx>
          <c:spPr>
            <a:solidFill>
              <a:srgbClr val="51AA81"/>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15m'!$C$169:$E$169</c:f>
              <c:numCache>
                <c:formatCode>0%</c:formatCode>
                <c:ptCount val="3"/>
                <c:pt idx="0">
                  <c:v>0</c:v>
                </c:pt>
                <c:pt idx="1">
                  <c:v>0</c:v>
                </c:pt>
                <c:pt idx="2">
                  <c:v>5.8205108520780358E-3</c:v>
                </c:pt>
              </c:numCache>
            </c:numRef>
          </c:val>
          <c:extLst>
            <c:ext xmlns:c16="http://schemas.microsoft.com/office/drawing/2014/chart" uri="{C3380CC4-5D6E-409C-BE32-E72D297353CC}">
              <c16:uniqueId val="{00000006-1D3F-43FA-93A2-6C18CCCE9E0A}"/>
            </c:ext>
          </c:extLst>
        </c:ser>
        <c:ser>
          <c:idx val="7"/>
          <c:order val="7"/>
          <c:tx>
            <c:strRef>
              <c:f>'UK scallop dredge over 15m'!$B$170</c:f>
              <c:strCache>
                <c:ptCount val="1"/>
                <c:pt idx="0">
                  <c:v>Sole</c:v>
                </c:pt>
              </c:strCache>
            </c:strRef>
          </c:tx>
          <c:spPr>
            <a:solidFill>
              <a:srgbClr val="648C2E"/>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15m'!$C$170:$E$170</c:f>
              <c:numCache>
                <c:formatCode>0%</c:formatCode>
                <c:ptCount val="3"/>
                <c:pt idx="0">
                  <c:v>1.8351751929321332E-3</c:v>
                </c:pt>
                <c:pt idx="1">
                  <c:v>0</c:v>
                </c:pt>
                <c:pt idx="2">
                  <c:v>0</c:v>
                </c:pt>
              </c:numCache>
            </c:numRef>
          </c:val>
          <c:extLst>
            <c:ext xmlns:c16="http://schemas.microsoft.com/office/drawing/2014/chart" uri="{C3380CC4-5D6E-409C-BE32-E72D297353CC}">
              <c16:uniqueId val="{00000007-1D3F-43FA-93A2-6C18CCCE9E0A}"/>
            </c:ext>
          </c:extLst>
        </c:ser>
        <c:ser>
          <c:idx val="8"/>
          <c:order val="8"/>
          <c:tx>
            <c:strRef>
              <c:f>'UK scallop dredge over 15m'!$B$171</c:f>
              <c:strCache>
                <c:ptCount val="1"/>
                <c:pt idx="0">
                  <c:v>Others</c:v>
                </c:pt>
              </c:strCache>
            </c:strRef>
          </c:tx>
          <c:spPr>
            <a:solidFill>
              <a:srgbClr val="55585A"/>
            </a:solidFill>
            <a:ln>
              <a:solidFill>
                <a:srgbClr val="FFFFFF"/>
              </a:solidFill>
            </a:ln>
          </c:spPr>
          <c:invertIfNegative val="0"/>
          <c:cat>
            <c:strRef>
              <c:f>'UK scallop dredge over 15m'!$C$162:$E$162</c:f>
              <c:strCache>
                <c:ptCount val="3"/>
                <c:pt idx="0">
                  <c:v>Most
profitable
quartile</c:v>
                </c:pt>
                <c:pt idx="1">
                  <c:v>Middle 
two quartiles</c:v>
                </c:pt>
                <c:pt idx="2">
                  <c:v>Least
profitable
quartile</c:v>
                </c:pt>
              </c:strCache>
            </c:strRef>
          </c:cat>
          <c:val>
            <c:numRef>
              <c:f>'UK scallop dredge over 15m'!$C$171:$E$171</c:f>
              <c:numCache>
                <c:formatCode>0%</c:formatCode>
                <c:ptCount val="3"/>
                <c:pt idx="0">
                  <c:v>8.5132887016893255E-3</c:v>
                </c:pt>
                <c:pt idx="1">
                  <c:v>6.8448512429896136E-3</c:v>
                </c:pt>
                <c:pt idx="2">
                  <c:v>1.3886283225674201E-2</c:v>
                </c:pt>
              </c:numCache>
            </c:numRef>
          </c:val>
          <c:extLst>
            <c:ext xmlns:c16="http://schemas.microsoft.com/office/drawing/2014/chart" uri="{C3380CC4-5D6E-409C-BE32-E72D297353CC}">
              <c16:uniqueId val="{00000008-1D3F-43FA-93A2-6C18CCCE9E0A}"/>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over 15m'!$H$163</c:f>
              <c:strCache>
                <c:ptCount val="1"/>
                <c:pt idx="0">
                  <c:v>Scallops</c:v>
                </c:pt>
              </c:strCache>
            </c:strRef>
          </c:tx>
          <c:spPr>
            <a:solidFill>
              <a:srgbClr val="2273B9"/>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15m'!$I$163:$K$163</c:f>
              <c:numCache>
                <c:formatCode>0%</c:formatCode>
                <c:ptCount val="3"/>
                <c:pt idx="0">
                  <c:v>0.91886408915182582</c:v>
                </c:pt>
                <c:pt idx="1">
                  <c:v>0.91336177191602774</c:v>
                </c:pt>
                <c:pt idx="2">
                  <c:v>0.89842706530913385</c:v>
                </c:pt>
              </c:numCache>
            </c:numRef>
          </c:val>
          <c:extLst>
            <c:ext xmlns:c16="http://schemas.microsoft.com/office/drawing/2014/chart" uri="{C3380CC4-5D6E-409C-BE32-E72D297353CC}">
              <c16:uniqueId val="{00000000-85E1-4708-901C-93D85DB3511A}"/>
            </c:ext>
          </c:extLst>
        </c:ser>
        <c:ser>
          <c:idx val="1"/>
          <c:order val="1"/>
          <c:tx>
            <c:strRef>
              <c:f>'UK scallop dredge over 15m'!$H$164</c:f>
              <c:strCache>
                <c:ptCount val="1"/>
                <c:pt idx="0">
                  <c:v>Queen Scallops</c:v>
                </c:pt>
              </c:strCache>
            </c:strRef>
          </c:tx>
          <c:spPr>
            <a:solidFill>
              <a:srgbClr val="E87308"/>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15m'!$I$164:$K$164</c:f>
              <c:numCache>
                <c:formatCode>0%</c:formatCode>
                <c:ptCount val="3"/>
                <c:pt idx="0">
                  <c:v>2.710196024427693E-2</c:v>
                </c:pt>
                <c:pt idx="1">
                  <c:v>5.3683085304138213E-2</c:v>
                </c:pt>
                <c:pt idx="2">
                  <c:v>2.933381213975025E-2</c:v>
                </c:pt>
              </c:numCache>
            </c:numRef>
          </c:val>
          <c:extLst>
            <c:ext xmlns:c16="http://schemas.microsoft.com/office/drawing/2014/chart" uri="{C3380CC4-5D6E-409C-BE32-E72D297353CC}">
              <c16:uniqueId val="{00000001-85E1-4708-901C-93D85DB3511A}"/>
            </c:ext>
          </c:extLst>
        </c:ser>
        <c:ser>
          <c:idx val="2"/>
          <c:order val="2"/>
          <c:tx>
            <c:strRef>
              <c:f>'UK scallop dredge over 15m'!$H$165</c:f>
              <c:strCache>
                <c:ptCount val="1"/>
                <c:pt idx="0">
                  <c:v>Nephrops</c:v>
                </c:pt>
              </c:strCache>
            </c:strRef>
          </c:tx>
          <c:spPr>
            <a:solidFill>
              <a:srgbClr val="FED825"/>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15m'!$I$165:$K$165</c:f>
              <c:numCache>
                <c:formatCode>0%</c:formatCode>
                <c:ptCount val="3"/>
                <c:pt idx="0">
                  <c:v>0</c:v>
                </c:pt>
                <c:pt idx="1">
                  <c:v>5.6698746404439887E-3</c:v>
                </c:pt>
                <c:pt idx="2">
                  <c:v>1.3203415687164708E-2</c:v>
                </c:pt>
              </c:numCache>
            </c:numRef>
          </c:val>
          <c:extLst>
            <c:ext xmlns:c16="http://schemas.microsoft.com/office/drawing/2014/chart" uri="{C3380CC4-5D6E-409C-BE32-E72D297353CC}">
              <c16:uniqueId val="{00000002-85E1-4708-901C-93D85DB3511A}"/>
            </c:ext>
          </c:extLst>
        </c:ser>
        <c:ser>
          <c:idx val="3"/>
          <c:order val="3"/>
          <c:tx>
            <c:strRef>
              <c:f>'UK scallop dredge over 15m'!$H$166</c:f>
              <c:strCache>
                <c:ptCount val="1"/>
                <c:pt idx="0">
                  <c:v>Turbot</c:v>
                </c:pt>
              </c:strCache>
            </c:strRef>
          </c:tx>
          <c:spPr>
            <a:solidFill>
              <a:srgbClr val="E84A38"/>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15m'!$I$166:$K$166</c:f>
              <c:numCache>
                <c:formatCode>0%</c:formatCode>
                <c:ptCount val="3"/>
                <c:pt idx="0">
                  <c:v>1.1533499705063368E-2</c:v>
                </c:pt>
                <c:pt idx="1">
                  <c:v>5.5432590010032227E-3</c:v>
                </c:pt>
                <c:pt idx="2">
                  <c:v>0</c:v>
                </c:pt>
              </c:numCache>
            </c:numRef>
          </c:val>
          <c:extLst>
            <c:ext xmlns:c16="http://schemas.microsoft.com/office/drawing/2014/chart" uri="{C3380CC4-5D6E-409C-BE32-E72D297353CC}">
              <c16:uniqueId val="{00000003-85E1-4708-901C-93D85DB3511A}"/>
            </c:ext>
          </c:extLst>
        </c:ser>
        <c:ser>
          <c:idx val="4"/>
          <c:order val="4"/>
          <c:tx>
            <c:strRef>
              <c:f>'UK scallop dredge over 15m'!$H$167</c:f>
              <c:strCache>
                <c:ptCount val="1"/>
                <c:pt idx="0">
                  <c:v>Sole</c:v>
                </c:pt>
              </c:strCache>
            </c:strRef>
          </c:tx>
          <c:spPr>
            <a:solidFill>
              <a:srgbClr val="648C2E"/>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15m'!$I$167:$K$167</c:f>
              <c:numCache>
                <c:formatCode>0%</c:formatCode>
                <c:ptCount val="3"/>
                <c:pt idx="0">
                  <c:v>1.2618277360432806E-2</c:v>
                </c:pt>
                <c:pt idx="1">
                  <c:v>5.3899682822764246E-3</c:v>
                </c:pt>
                <c:pt idx="2">
                  <c:v>4.1619332445361834E-3</c:v>
                </c:pt>
              </c:numCache>
            </c:numRef>
          </c:val>
          <c:extLst>
            <c:ext xmlns:c16="http://schemas.microsoft.com/office/drawing/2014/chart" uri="{C3380CC4-5D6E-409C-BE32-E72D297353CC}">
              <c16:uniqueId val="{00000004-85E1-4708-901C-93D85DB3511A}"/>
            </c:ext>
          </c:extLst>
        </c:ser>
        <c:ser>
          <c:idx val="5"/>
          <c:order val="5"/>
          <c:tx>
            <c:strRef>
              <c:f>'UK scallop dredge over 15m'!$H$168</c:f>
              <c:strCache>
                <c:ptCount val="1"/>
                <c:pt idx="0">
                  <c:v>Cod</c:v>
                </c:pt>
              </c:strCache>
            </c:strRef>
          </c:tx>
          <c:spPr>
            <a:solidFill>
              <a:srgbClr val="707271"/>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15m'!$I$168:$K$168</c:f>
              <c:numCache>
                <c:formatCode>0%</c:formatCode>
                <c:ptCount val="3"/>
                <c:pt idx="0">
                  <c:v>0</c:v>
                </c:pt>
                <c:pt idx="1">
                  <c:v>0</c:v>
                </c:pt>
                <c:pt idx="2">
                  <c:v>3.6638619752280381E-2</c:v>
                </c:pt>
              </c:numCache>
            </c:numRef>
          </c:val>
          <c:extLst>
            <c:ext xmlns:c16="http://schemas.microsoft.com/office/drawing/2014/chart" uri="{C3380CC4-5D6E-409C-BE32-E72D297353CC}">
              <c16:uniqueId val="{00000005-85E1-4708-901C-93D85DB3511A}"/>
            </c:ext>
          </c:extLst>
        </c:ser>
        <c:ser>
          <c:idx val="6"/>
          <c:order val="6"/>
          <c:tx>
            <c:strRef>
              <c:f>'UK scallop dredge over 15m'!$H$169</c:f>
              <c:strCache>
                <c:ptCount val="1"/>
                <c:pt idx="0">
                  <c:v>Anglerfish</c:v>
                </c:pt>
              </c:strCache>
            </c:strRef>
          </c:tx>
          <c:spPr>
            <a:solidFill>
              <a:srgbClr val="C1D119"/>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15m'!$I$169:$K$169</c:f>
              <c:numCache>
                <c:formatCode>0%</c:formatCode>
                <c:ptCount val="3"/>
                <c:pt idx="0">
                  <c:v>1.2359602392167409E-2</c:v>
                </c:pt>
                <c:pt idx="1">
                  <c:v>0</c:v>
                </c:pt>
                <c:pt idx="2">
                  <c:v>0</c:v>
                </c:pt>
              </c:numCache>
            </c:numRef>
          </c:val>
          <c:extLst>
            <c:ext xmlns:c16="http://schemas.microsoft.com/office/drawing/2014/chart" uri="{C3380CC4-5D6E-409C-BE32-E72D297353CC}">
              <c16:uniqueId val="{00000006-85E1-4708-901C-93D85DB3511A}"/>
            </c:ext>
          </c:extLst>
        </c:ser>
        <c:ser>
          <c:idx val="7"/>
          <c:order val="7"/>
          <c:tx>
            <c:strRef>
              <c:f>'UK scallop dredge over 15m'!$H$170</c:f>
              <c:strCache>
                <c:ptCount val="1"/>
                <c:pt idx="0">
                  <c:v>Others</c:v>
                </c:pt>
              </c:strCache>
            </c:strRef>
          </c:tx>
          <c:spPr>
            <a:solidFill>
              <a:srgbClr val="55585A"/>
            </a:solidFill>
            <a:ln>
              <a:solidFill>
                <a:srgbClr val="FFFFFF"/>
              </a:solidFill>
            </a:ln>
          </c:spPr>
          <c:invertIfNegative val="0"/>
          <c:cat>
            <c:strRef>
              <c:f>'UK scallop dredge over 15m'!$I$162:$K$162</c:f>
              <c:strCache>
                <c:ptCount val="3"/>
                <c:pt idx="0">
                  <c:v>Most
profitable
quartile</c:v>
                </c:pt>
                <c:pt idx="1">
                  <c:v>Middle 
two quartiles</c:v>
                </c:pt>
                <c:pt idx="2">
                  <c:v>Least
profitable
quartile</c:v>
                </c:pt>
              </c:strCache>
            </c:strRef>
          </c:cat>
          <c:val>
            <c:numRef>
              <c:f>'UK scallop dredge over 15m'!$I$170:$K$170</c:f>
              <c:numCache>
                <c:formatCode>0%</c:formatCode>
                <c:ptCount val="3"/>
                <c:pt idx="0">
                  <c:v>1.752257114623379E-2</c:v>
                </c:pt>
                <c:pt idx="1">
                  <c:v>1.6352040856110306E-2</c:v>
                </c:pt>
                <c:pt idx="2">
                  <c:v>1.8235153867134701E-2</c:v>
                </c:pt>
              </c:numCache>
            </c:numRef>
          </c:val>
          <c:extLst>
            <c:ext xmlns:c16="http://schemas.microsoft.com/office/drawing/2014/chart" uri="{C3380CC4-5D6E-409C-BE32-E72D297353CC}">
              <c16:uniqueId val="{00000007-85E1-4708-901C-93D85DB3511A}"/>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over 15m'!$K$140</c:f>
              <c:strCache>
                <c:ptCount val="1"/>
                <c:pt idx="0">
                  <c:v>Total income</c:v>
                </c:pt>
              </c:strCache>
            </c:strRef>
          </c:tx>
          <c:spPr>
            <a:solidFill>
              <a:srgbClr val="087CBB"/>
            </a:solidFill>
            <a:ln>
              <a:solidFill>
                <a:schemeClr val="accent1"/>
              </a:solidFill>
            </a:ln>
          </c:spPr>
          <c:invertIfNegative val="0"/>
          <c:cat>
            <c:strRef>
              <c:f>'UK scallop dredge over 15m'!$L$139:$N$139</c:f>
              <c:strCache>
                <c:ptCount val="3"/>
                <c:pt idx="0">
                  <c:v>Most
profitable
quartile</c:v>
                </c:pt>
                <c:pt idx="1">
                  <c:v>Middle
two quartiles</c:v>
                </c:pt>
                <c:pt idx="2">
                  <c:v>Least
profitable
quartile</c:v>
                </c:pt>
              </c:strCache>
            </c:strRef>
          </c:cat>
          <c:val>
            <c:numRef>
              <c:f>'UK scallop dredge over 15m'!$L$140:$N$140</c:f>
              <c:numCache>
                <c:formatCode>#,##0</c:formatCode>
                <c:ptCount val="3"/>
                <c:pt idx="0">
                  <c:v>1148.232125</c:v>
                </c:pt>
                <c:pt idx="1">
                  <c:v>525.65208870967797</c:v>
                </c:pt>
                <c:pt idx="2">
                  <c:v>171.25262499999999</c:v>
                </c:pt>
              </c:numCache>
            </c:numRef>
          </c:val>
          <c:extLst>
            <c:ext xmlns:c16="http://schemas.microsoft.com/office/drawing/2014/chart" uri="{C3380CC4-5D6E-409C-BE32-E72D297353CC}">
              <c16:uniqueId val="{00000000-BA6A-46FC-A992-E1C7FAF69FA3}"/>
            </c:ext>
          </c:extLst>
        </c:ser>
        <c:ser>
          <c:idx val="1"/>
          <c:order val="1"/>
          <c:tx>
            <c:strRef>
              <c:f>'UK scallop dredge over 15m'!$K$141</c:f>
              <c:strCache>
                <c:ptCount val="1"/>
                <c:pt idx="0">
                  <c:v>Operating costs</c:v>
                </c:pt>
              </c:strCache>
            </c:strRef>
          </c:tx>
          <c:spPr>
            <a:solidFill>
              <a:srgbClr val="E87308"/>
            </a:solidFill>
          </c:spPr>
          <c:invertIfNegative val="0"/>
          <c:cat>
            <c:strRef>
              <c:f>'UK scallop dredge over 15m'!$L$139:$N$139</c:f>
              <c:strCache>
                <c:ptCount val="3"/>
                <c:pt idx="0">
                  <c:v>Most
profitable
quartile</c:v>
                </c:pt>
                <c:pt idx="1">
                  <c:v>Middle
two quartiles</c:v>
                </c:pt>
                <c:pt idx="2">
                  <c:v>Least
profitable
quartile</c:v>
                </c:pt>
              </c:strCache>
            </c:strRef>
          </c:cat>
          <c:val>
            <c:numRef>
              <c:f>'UK scallop dredge over 15m'!$L$141:$N$141</c:f>
              <c:numCache>
                <c:formatCode>#,##0</c:formatCode>
                <c:ptCount val="3"/>
                <c:pt idx="0">
                  <c:v>900.11149999999998</c:v>
                </c:pt>
                <c:pt idx="1">
                  <c:v>451.24398185483898</c:v>
                </c:pt>
                <c:pt idx="2">
                  <c:v>171.00821875</c:v>
                </c:pt>
              </c:numCache>
            </c:numRef>
          </c:val>
          <c:extLst>
            <c:ext xmlns:c16="http://schemas.microsoft.com/office/drawing/2014/chart" uri="{C3380CC4-5D6E-409C-BE32-E72D297353CC}">
              <c16:uniqueId val="{00000001-BA6A-46FC-A992-E1C7FAF69FA3}"/>
            </c:ext>
          </c:extLst>
        </c:ser>
        <c:ser>
          <c:idx val="2"/>
          <c:order val="2"/>
          <c:tx>
            <c:strRef>
              <c:f>'UK scallop dredge over 15m'!$K$142</c:f>
              <c:strCache>
                <c:ptCount val="1"/>
                <c:pt idx="0">
                  <c:v>Operating profit</c:v>
                </c:pt>
              </c:strCache>
            </c:strRef>
          </c:tx>
          <c:spPr>
            <a:solidFill>
              <a:srgbClr val="51AA81"/>
            </a:solidFill>
          </c:spPr>
          <c:invertIfNegative val="0"/>
          <c:cat>
            <c:strRef>
              <c:f>'UK scallop dredge over 15m'!$L$139:$N$139</c:f>
              <c:strCache>
                <c:ptCount val="3"/>
                <c:pt idx="0">
                  <c:v>Most
profitable
quartile</c:v>
                </c:pt>
                <c:pt idx="1">
                  <c:v>Middle
two quartiles</c:v>
                </c:pt>
                <c:pt idx="2">
                  <c:v>Least
profitable
quartile</c:v>
                </c:pt>
              </c:strCache>
            </c:strRef>
          </c:cat>
          <c:val>
            <c:numRef>
              <c:f>'UK scallop dredge over 15m'!$L$142:$N$142</c:f>
              <c:numCache>
                <c:formatCode>#,##0</c:formatCode>
                <c:ptCount val="3"/>
                <c:pt idx="0">
                  <c:v>248.12062499999999</c:v>
                </c:pt>
                <c:pt idx="1">
                  <c:v>74.408106854838707</c:v>
                </c:pt>
                <c:pt idx="2">
                  <c:v>0.24440624999999999</c:v>
                </c:pt>
              </c:numCache>
            </c:numRef>
          </c:val>
          <c:extLst>
            <c:ext xmlns:c16="http://schemas.microsoft.com/office/drawing/2014/chart" uri="{C3380CC4-5D6E-409C-BE32-E72D297353CC}">
              <c16:uniqueId val="{00000002-BA6A-46FC-A992-E1C7FAF69FA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'UK scallop dredge over 15m'!$K$143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15m'!$A$49</c:f>
          <c:strCache>
            <c:ptCount val="1"/>
            <c:pt idx="0">
              <c:v>Landings per kW day at sea (kg)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F9C-4D45-8897-DF3056760D0C}"/>
              </c:ext>
            </c:extLst>
          </c:dPt>
          <c:dPt>
            <c:idx val="10"/>
            <c:bubble3D val="0"/>
            <c:spPr>
              <a:ln w="57150">
                <a:solidFill>
                  <a:srgbClr val="2273B9"/>
                </a:solidFill>
                <a:prstDash val="sysDot"/>
              </a:ln>
            </c:spPr>
            <c:extLst>
              <c:ext xmlns:c16="http://schemas.microsoft.com/office/drawing/2014/chart" uri="{C3380CC4-5D6E-409C-BE32-E72D297353CC}">
                <c16:uniqueId val="{00000003-0F9C-4D45-8897-DF3056760D0C}"/>
              </c:ext>
            </c:extLst>
          </c:dPt>
          <c:cat>
            <c:numRef>
              <c:f>'UK scallop dredge under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under 15m'!$D$22:$N$22</c:f>
              <c:numCache>
                <c:formatCode>#,##0.00</c:formatCode>
                <c:ptCount val="11"/>
                <c:pt idx="0">
                  <c:v>6.5354112487720801</c:v>
                </c:pt>
                <c:pt idx="1">
                  <c:v>7.7882520128140298</c:v>
                </c:pt>
                <c:pt idx="2">
                  <c:v>7.1004815832487802</c:v>
                </c:pt>
                <c:pt idx="3">
                  <c:v>6.9926513290677343</c:v>
                </c:pt>
                <c:pt idx="4">
                  <c:v>5.1164718238853713</c:v>
                </c:pt>
                <c:pt idx="5">
                  <c:v>5.1145317503804488</c:v>
                </c:pt>
                <c:pt idx="6">
                  <c:v>5.8253546568535306</c:v>
                </c:pt>
                <c:pt idx="7">
                  <c:v>6.5248849361141286</c:v>
                </c:pt>
                <c:pt idx="8">
                  <c:v>7.7029506569246617</c:v>
                </c:pt>
                <c:pt idx="9">
                  <c:v>7.1827763403875489</c:v>
                </c:pt>
                <c:pt idx="10">
                  <c:v>6.8222892776522528</c:v>
                </c:pt>
              </c:numCache>
            </c:numRef>
          </c:val>
          <c:smooth val="0"/>
          <c:extLst>
            <c:ext xmlns:c16="http://schemas.microsoft.com/office/drawing/2014/chart" uri="{C3380CC4-5D6E-409C-BE32-E72D297353CC}">
              <c16:uniqueId val="{00000004-0F9C-4D45-8897-DF3056760D0C}"/>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15m'!$A$50</c:f>
          <c:strCache>
            <c:ptCount val="1"/>
            <c:pt idx="0">
              <c:v>Fishing income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B219-42A8-8DEA-EB00DEC436B3}"/>
              </c:ext>
            </c:extLst>
          </c:dPt>
          <c:dPt>
            <c:idx val="10"/>
            <c:bubble3D val="0"/>
            <c:spPr>
              <a:ln w="57150">
                <a:solidFill>
                  <a:srgbClr val="648C2E"/>
                </a:solidFill>
                <a:prstDash val="sysDot"/>
              </a:ln>
            </c:spPr>
            <c:extLst>
              <c:ext xmlns:c16="http://schemas.microsoft.com/office/drawing/2014/chart" uri="{C3380CC4-5D6E-409C-BE32-E72D297353CC}">
                <c16:uniqueId val="{00000003-B219-42A8-8DEA-EB00DEC436B3}"/>
              </c:ext>
            </c:extLst>
          </c:dPt>
          <c:cat>
            <c:numRef>
              <c:f>'UK scallop dredge under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under 15m'!$D$23:$N$23</c:f>
              <c:numCache>
                <c:formatCode>#,##0.00</c:formatCode>
                <c:ptCount val="11"/>
                <c:pt idx="0">
                  <c:v>10.887760506148799</c:v>
                </c:pt>
                <c:pt idx="1">
                  <c:v>9.8449363110293007</c:v>
                </c:pt>
                <c:pt idx="2">
                  <c:v>11.1814672533869</c:v>
                </c:pt>
                <c:pt idx="3">
                  <c:v>9.9733001404882309</c:v>
                </c:pt>
                <c:pt idx="4">
                  <c:v>10.472533251484901</c:v>
                </c:pt>
                <c:pt idx="5">
                  <c:v>11.1034236894334</c:v>
                </c:pt>
                <c:pt idx="6">
                  <c:v>11.3778632585179</c:v>
                </c:pt>
                <c:pt idx="7">
                  <c:v>12.3258652345275</c:v>
                </c:pt>
                <c:pt idx="8">
                  <c:v>10.790343869988799</c:v>
                </c:pt>
                <c:pt idx="9">
                  <c:v>12.730508051916701</c:v>
                </c:pt>
                <c:pt idx="10">
                  <c:v>14.717849184516336</c:v>
                </c:pt>
              </c:numCache>
            </c:numRef>
          </c:val>
          <c:smooth val="0"/>
          <c:extLst>
            <c:ext xmlns:c16="http://schemas.microsoft.com/office/drawing/2014/chart" uri="{C3380CC4-5D6E-409C-BE32-E72D297353CC}">
              <c16:uniqueId val="{00000004-B219-42A8-8DEA-EB00DEC436B3}"/>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15m'!$B$63</c:f>
          <c:strCache>
            <c:ptCount val="1"/>
            <c:pt idx="0">
              <c:v>Total cost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8B1-4EA0-8F54-E7EDD44969DC}"/>
              </c:ext>
            </c:extLst>
          </c:dPt>
          <c:dPt>
            <c:idx val="10"/>
            <c:bubble3D val="0"/>
            <c:spPr>
              <a:ln w="57150">
                <a:solidFill>
                  <a:srgbClr val="087CBB"/>
                </a:solidFill>
                <a:prstDash val="sysDot"/>
              </a:ln>
            </c:spPr>
            <c:extLst>
              <c:ext xmlns:c16="http://schemas.microsoft.com/office/drawing/2014/chart" uri="{C3380CC4-5D6E-409C-BE32-E72D297353CC}">
                <c16:uniqueId val="{00000003-18B1-4EA0-8F54-E7EDD44969DC}"/>
              </c:ext>
            </c:extLst>
          </c:dPt>
          <c:cat>
            <c:numRef>
              <c:f>'UK scallop dredge under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under 15m'!$D$24:$N$24</c:f>
              <c:numCache>
                <c:formatCode>#,##0.00</c:formatCode>
                <c:ptCount val="11"/>
                <c:pt idx="0">
                  <c:v>8.7706514099869999</c:v>
                </c:pt>
                <c:pt idx="1">
                  <c:v>8.4677706056882496</c:v>
                </c:pt>
                <c:pt idx="2">
                  <c:v>9.1803877918854404</c:v>
                </c:pt>
                <c:pt idx="3">
                  <c:v>8.2394383653894305</c:v>
                </c:pt>
                <c:pt idx="4">
                  <c:v>8.5767778500272591</c:v>
                </c:pt>
                <c:pt idx="5">
                  <c:v>9.8722530804540707</c:v>
                </c:pt>
                <c:pt idx="6">
                  <c:v>9.5751201908014494</c:v>
                </c:pt>
                <c:pt idx="7">
                  <c:v>10.921170006949</c:v>
                </c:pt>
                <c:pt idx="8">
                  <c:v>9.5335845605264993</c:v>
                </c:pt>
                <c:pt idx="9">
                  <c:v>11.5836867362184</c:v>
                </c:pt>
                <c:pt idx="10">
                  <c:v>14.093818244284599</c:v>
                </c:pt>
              </c:numCache>
            </c:numRef>
          </c:val>
          <c:smooth val="0"/>
          <c:extLst>
            <c:ext xmlns:c16="http://schemas.microsoft.com/office/drawing/2014/chart" uri="{C3380CC4-5D6E-409C-BE32-E72D297353CC}">
              <c16:uniqueId val="{00000004-18B1-4EA0-8F54-E7EDD44969DC}"/>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u250kW'!$K$49</c:f>
          <c:strCache>
            <c:ptCount val="1"/>
            <c:pt idx="0">
              <c:v>Operating profit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C74-45E3-A787-8E2CC02727CB}"/>
              </c:ext>
            </c:extLst>
          </c:dPt>
          <c:dPt>
            <c:idx val="10"/>
            <c:bubble3D val="0"/>
            <c:spPr>
              <a:ln w="57150">
                <a:solidFill>
                  <a:schemeClr val="accent3"/>
                </a:solidFill>
                <a:prstDash val="sysDot"/>
              </a:ln>
            </c:spPr>
            <c:extLst>
              <c:ext xmlns:c16="http://schemas.microsoft.com/office/drawing/2014/chart" uri="{C3380CC4-5D6E-409C-BE32-E72D297353CC}">
                <c16:uniqueId val="{00000003-7C74-45E3-A787-8E2CC02727CB}"/>
              </c:ext>
            </c:extLst>
          </c:dPt>
          <c:cat>
            <c:numRef>
              <c:f>'Area VIIa nephrops u250kW'!$D$2:$N$2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nephrops u250kW'!$D$25:$N$25</c:f>
              <c:numCache>
                <c:formatCode>#,##0.00</c:formatCode>
                <c:ptCount val="11"/>
                <c:pt idx="0">
                  <c:v>1.9747506421086101</c:v>
                </c:pt>
                <c:pt idx="1">
                  <c:v>1.45768243839522</c:v>
                </c:pt>
                <c:pt idx="2">
                  <c:v>1.09427766466786</c:v>
                </c:pt>
                <c:pt idx="3">
                  <c:v>1.57433581368291</c:v>
                </c:pt>
                <c:pt idx="4">
                  <c:v>1.79199500824664</c:v>
                </c:pt>
                <c:pt idx="5">
                  <c:v>2.1430984783460798</c:v>
                </c:pt>
                <c:pt idx="6">
                  <c:v>1.6121977971808199</c:v>
                </c:pt>
                <c:pt idx="7">
                  <c:v>1.4301385492346399</c:v>
                </c:pt>
                <c:pt idx="8">
                  <c:v>2.6922420548577799</c:v>
                </c:pt>
                <c:pt idx="9">
                  <c:v>1.62735988694797</c:v>
                </c:pt>
                <c:pt idx="10">
                  <c:v>1.6034427565456832</c:v>
                </c:pt>
              </c:numCache>
            </c:numRef>
          </c:val>
          <c:smooth val="0"/>
          <c:extLst>
            <c:ext xmlns:c16="http://schemas.microsoft.com/office/drawing/2014/chart" uri="{C3380CC4-5D6E-409C-BE32-E72D297353CC}">
              <c16:uniqueId val="{00000004-7C74-45E3-A787-8E2CC02727C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15m'!$K$49</c:f>
          <c:strCache>
            <c:ptCount val="1"/>
            <c:pt idx="0">
              <c:v>Operating profit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34A4-4C8D-9A02-EF6E584D6255}"/>
              </c:ext>
            </c:extLst>
          </c:dPt>
          <c:dPt>
            <c:idx val="10"/>
            <c:bubble3D val="0"/>
            <c:spPr>
              <a:ln w="57150">
                <a:solidFill>
                  <a:schemeClr val="accent3"/>
                </a:solidFill>
                <a:prstDash val="sysDot"/>
              </a:ln>
            </c:spPr>
            <c:extLst>
              <c:ext xmlns:c16="http://schemas.microsoft.com/office/drawing/2014/chart" uri="{C3380CC4-5D6E-409C-BE32-E72D297353CC}">
                <c16:uniqueId val="{00000003-34A4-4C8D-9A02-EF6E584D6255}"/>
              </c:ext>
            </c:extLst>
          </c:dPt>
          <c:cat>
            <c:numRef>
              <c:f>'UK scallop dredge under 15m'!$D$2:$N$2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'UK scallop dredge under 15m'!$D$25:$N$25</c:f>
              <c:numCache>
                <c:formatCode>#,##0.00</c:formatCode>
                <c:ptCount val="11"/>
                <c:pt idx="0">
                  <c:v>2.5266777373337201</c:v>
                </c:pt>
                <c:pt idx="1">
                  <c:v>1.68165813845644</c:v>
                </c:pt>
                <c:pt idx="2">
                  <c:v>2.1338160060220601</c:v>
                </c:pt>
                <c:pt idx="3">
                  <c:v>2.31423964433964</c:v>
                </c:pt>
                <c:pt idx="4">
                  <c:v>2.3811454417446098</c:v>
                </c:pt>
                <c:pt idx="5">
                  <c:v>1.7148084229084599</c:v>
                </c:pt>
                <c:pt idx="6">
                  <c:v>2.1970970846186799</c:v>
                </c:pt>
                <c:pt idx="7">
                  <c:v>1.98950622573228</c:v>
                </c:pt>
                <c:pt idx="8">
                  <c:v>2.3728438413843498</c:v>
                </c:pt>
                <c:pt idx="9">
                  <c:v>1.49532161782544</c:v>
                </c:pt>
                <c:pt idx="10">
                  <c:v>0.98668950649991649</c:v>
                </c:pt>
              </c:numCache>
            </c:numRef>
          </c:val>
          <c:smooth val="0"/>
          <c:extLst>
            <c:ext xmlns:c16="http://schemas.microsoft.com/office/drawing/2014/chart" uri="{C3380CC4-5D6E-409C-BE32-E72D297353CC}">
              <c16:uniqueId val="{00000004-34A4-4C8D-9A02-EF6E584D6255}"/>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15m'!$A$51</c:f>
          <c:strCache>
            <c:ptCount val="1"/>
            <c:pt idx="0">
              <c:v>Average price per tonne landed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6A2-42A8-8159-19081F3D7BBC}"/>
              </c:ext>
            </c:extLst>
          </c:dPt>
          <c:dPt>
            <c:idx val="10"/>
            <c:bubble3D val="0"/>
            <c:spPr>
              <a:ln w="57150">
                <a:solidFill>
                  <a:schemeClr val="accent4"/>
                </a:solidFill>
                <a:prstDash val="sysDot"/>
              </a:ln>
            </c:spPr>
            <c:extLst>
              <c:ext xmlns:c16="http://schemas.microsoft.com/office/drawing/2014/chart" uri="{C3380CC4-5D6E-409C-BE32-E72D297353CC}">
                <c16:uniqueId val="{00000003-46A2-42A8-8159-19081F3D7BBC}"/>
              </c:ext>
            </c:extLst>
          </c:dPt>
          <c:cat>
            <c:numRef>
              <c:f>'UK scallop dredge under 15m'!$D$2:$M$2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15m'!$D$21:$N$21</c:f>
              <c:numCache>
                <c:formatCode>#,##0</c:formatCode>
                <c:ptCount val="11"/>
                <c:pt idx="0">
                  <c:v>1666</c:v>
                </c:pt>
                <c:pt idx="1">
                  <c:v>1264</c:v>
                </c:pt>
                <c:pt idx="2">
                  <c:v>1575</c:v>
                </c:pt>
                <c:pt idx="3">
                  <c:v>1426</c:v>
                </c:pt>
                <c:pt idx="4">
                  <c:v>2047</c:v>
                </c:pt>
                <c:pt idx="5">
                  <c:v>2171</c:v>
                </c:pt>
                <c:pt idx="6">
                  <c:v>1953</c:v>
                </c:pt>
                <c:pt idx="7">
                  <c:v>1889</c:v>
                </c:pt>
                <c:pt idx="8">
                  <c:v>1401</c:v>
                </c:pt>
                <c:pt idx="9">
                  <c:v>1772</c:v>
                </c:pt>
                <c:pt idx="10">
                  <c:v>2157</c:v>
                </c:pt>
              </c:numCache>
            </c:numRef>
          </c:val>
          <c:smooth val="0"/>
          <c:extLst>
            <c:ext xmlns:c16="http://schemas.microsoft.com/office/drawing/2014/chart" uri="{C3380CC4-5D6E-409C-BE32-E72D297353CC}">
              <c16:uniqueId val="{00000004-46A2-42A8-8159-19081F3D7BBC}"/>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15m'!$K$63</c:f>
          <c:strCache>
            <c:ptCount val="1"/>
            <c:pt idx="0">
              <c:v>Average annual operating profit per vessel (£'000)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989E-4FE8-B199-2FC63B00A849}"/>
              </c:ext>
            </c:extLst>
          </c:dPt>
          <c:dPt>
            <c:idx val="10"/>
            <c:bubble3D val="0"/>
            <c:spPr>
              <a:ln w="57150">
                <a:solidFill>
                  <a:schemeClr val="accent5"/>
                </a:solidFill>
                <a:prstDash val="sysDot"/>
              </a:ln>
            </c:spPr>
            <c:extLst>
              <c:ext xmlns:c16="http://schemas.microsoft.com/office/drawing/2014/chart" uri="{C3380CC4-5D6E-409C-BE32-E72D297353CC}">
                <c16:uniqueId val="{00000003-989E-4FE8-B199-2FC63B00A849}"/>
              </c:ext>
            </c:extLst>
          </c:dPt>
          <c:cat>
            <c:numRef>
              <c:f>'UK scallop dredge under 15m'!$D$2:$M$2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15m'!$D$38:$N$38</c:f>
              <c:numCache>
                <c:formatCode>#,##0.0</c:formatCode>
                <c:ptCount val="11"/>
                <c:pt idx="0">
                  <c:v>41.3</c:v>
                </c:pt>
                <c:pt idx="1">
                  <c:v>24.4</c:v>
                </c:pt>
                <c:pt idx="2">
                  <c:v>30.4</c:v>
                </c:pt>
                <c:pt idx="3">
                  <c:v>34.1</c:v>
                </c:pt>
                <c:pt idx="4">
                  <c:v>42.2</c:v>
                </c:pt>
                <c:pt idx="5">
                  <c:v>25.3</c:v>
                </c:pt>
                <c:pt idx="6">
                  <c:v>32.5</c:v>
                </c:pt>
                <c:pt idx="7">
                  <c:v>30.6</c:v>
                </c:pt>
                <c:pt idx="8">
                  <c:v>31.4</c:v>
                </c:pt>
                <c:pt idx="9">
                  <c:v>20.6</c:v>
                </c:pt>
                <c:pt idx="10">
                  <c:v>13.9</c:v>
                </c:pt>
              </c:numCache>
            </c:numRef>
          </c:val>
          <c:smooth val="0"/>
          <c:extLst>
            <c:ext xmlns:c16="http://schemas.microsoft.com/office/drawing/2014/chart" uri="{C3380CC4-5D6E-409C-BE32-E72D297353CC}">
              <c16:uniqueId val="{00000004-989E-4FE8-B199-2FC63B00A849}"/>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15m'!$A$77</c:f>
          <c:strCache>
            <c:ptCount val="1"/>
            <c:pt idx="0">
              <c:v>Top 5 landed species by volume in 2021
UK scallop dredge under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C04-4EBC-A78C-5FEE1ED9184D}"/>
              </c:ext>
            </c:extLst>
          </c:dPt>
          <c:dPt>
            <c:idx val="1"/>
            <c:bubble3D val="0"/>
            <c:spPr>
              <a:solidFill>
                <a:srgbClr val="E87308"/>
              </a:solidFill>
              <a:ln>
                <a:solidFill>
                  <a:srgbClr val="FFFFFF"/>
                </a:solidFill>
              </a:ln>
            </c:spPr>
            <c:extLst>
              <c:ext xmlns:c16="http://schemas.microsoft.com/office/drawing/2014/chart" uri="{C3380CC4-5D6E-409C-BE32-E72D297353CC}">
                <c16:uniqueId val="{00000003-8C04-4EBC-A78C-5FEE1ED9184D}"/>
              </c:ext>
            </c:extLst>
          </c:dPt>
          <c:dPt>
            <c:idx val="2"/>
            <c:bubble3D val="0"/>
            <c:spPr>
              <a:solidFill>
                <a:srgbClr val="0F9AA9"/>
              </a:solidFill>
              <a:ln>
                <a:solidFill>
                  <a:srgbClr val="FFFFFF"/>
                </a:solidFill>
              </a:ln>
            </c:spPr>
            <c:extLst>
              <c:ext xmlns:c16="http://schemas.microsoft.com/office/drawing/2014/chart" uri="{C3380CC4-5D6E-409C-BE32-E72D297353CC}">
                <c16:uniqueId val="{00000005-8C04-4EBC-A78C-5FEE1ED9184D}"/>
              </c:ext>
            </c:extLst>
          </c:dPt>
          <c:dPt>
            <c:idx val="3"/>
            <c:bubble3D val="0"/>
            <c:spPr>
              <a:solidFill>
                <a:srgbClr val="FED825"/>
              </a:solidFill>
              <a:ln>
                <a:solidFill>
                  <a:srgbClr val="FFFFFF"/>
                </a:solidFill>
              </a:ln>
            </c:spPr>
            <c:extLst>
              <c:ext xmlns:c16="http://schemas.microsoft.com/office/drawing/2014/chart" uri="{C3380CC4-5D6E-409C-BE32-E72D297353CC}">
                <c16:uniqueId val="{00000007-8C04-4EBC-A78C-5FEE1ED9184D}"/>
              </c:ext>
            </c:extLst>
          </c:dPt>
          <c:dPt>
            <c:idx val="4"/>
            <c:bubble3D val="0"/>
            <c:spPr>
              <a:solidFill>
                <a:srgbClr val="648C2E"/>
              </a:solidFill>
              <a:ln>
                <a:solidFill>
                  <a:srgbClr val="FFFFFF"/>
                </a:solidFill>
              </a:ln>
            </c:spPr>
            <c:extLst>
              <c:ext xmlns:c16="http://schemas.microsoft.com/office/drawing/2014/chart" uri="{C3380CC4-5D6E-409C-BE32-E72D297353CC}">
                <c16:uniqueId val="{00000009-8C04-4EBC-A78C-5FEE1ED9184D}"/>
              </c:ext>
            </c:extLst>
          </c:dPt>
          <c:dPt>
            <c:idx val="5"/>
            <c:bubble3D val="0"/>
            <c:spPr>
              <a:solidFill>
                <a:srgbClr val="55585A"/>
              </a:solidFill>
              <a:ln>
                <a:solidFill>
                  <a:srgbClr val="FFFFFF"/>
                </a:solidFill>
              </a:ln>
            </c:spPr>
            <c:extLst>
              <c:ext xmlns:c16="http://schemas.microsoft.com/office/drawing/2014/chart" uri="{C3380CC4-5D6E-409C-BE32-E72D297353CC}">
                <c16:uniqueId val="{0000000B-8C04-4EBC-A78C-5FEE1ED9184D}"/>
              </c:ext>
            </c:extLst>
          </c:dPt>
          <c:cat>
            <c:strRef>
              <c:f>'UK scallop dredge under 15m'!$B$78:$B$83</c:f>
              <c:strCache>
                <c:ptCount val="6"/>
                <c:pt idx="0">
                  <c:v>Scallops - 46.4%</c:v>
                </c:pt>
                <c:pt idx="1">
                  <c:v>Cockles - 40.6%</c:v>
                </c:pt>
                <c:pt idx="2">
                  <c:v>Queen Scallops - 3.5%</c:v>
                </c:pt>
                <c:pt idx="3">
                  <c:v>Mussels - 2.2%</c:v>
                </c:pt>
                <c:pt idx="4">
                  <c:v>Manilla Clam - 1.5%</c:v>
                </c:pt>
                <c:pt idx="5">
                  <c:v>Others - 5.9%</c:v>
                </c:pt>
              </c:strCache>
            </c:strRef>
          </c:cat>
          <c:val>
            <c:numRef>
              <c:f>'UK scallop dredge under 15m'!$C$78:$C$83</c:f>
              <c:numCache>
                <c:formatCode>0.0%</c:formatCode>
                <c:ptCount val="6"/>
                <c:pt idx="0">
                  <c:v>0.46358166013975832</c:v>
                </c:pt>
                <c:pt idx="1">
                  <c:v>0.40550171086117315</c:v>
                </c:pt>
                <c:pt idx="2">
                  <c:v>3.5161229841220019E-2</c:v>
                </c:pt>
                <c:pt idx="3">
                  <c:v>2.2063044332702907E-2</c:v>
                </c:pt>
                <c:pt idx="4">
                  <c:v>1.5180193246685384E-2</c:v>
                </c:pt>
                <c:pt idx="5">
                  <c:v>5.8512161578460176E-2</c:v>
                </c:pt>
              </c:numCache>
            </c:numRef>
          </c:val>
          <c:extLst>
            <c:ext xmlns:c16="http://schemas.microsoft.com/office/drawing/2014/chart" uri="{C3380CC4-5D6E-409C-BE32-E72D297353CC}">
              <c16:uniqueId val="{0000000C-8C04-4EBC-A78C-5FEE1ED9184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15m'!$F$77</c:f>
          <c:strCache>
            <c:ptCount val="1"/>
            <c:pt idx="0">
              <c:v>Top 5 landed species by value in 2021
UK scallop dredge under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259-4A3B-BC7B-45C506031747}"/>
              </c:ext>
            </c:extLst>
          </c:dPt>
          <c:dPt>
            <c:idx val="1"/>
            <c:bubble3D val="0"/>
            <c:spPr>
              <a:solidFill>
                <a:srgbClr val="E87308"/>
              </a:solidFill>
              <a:ln>
                <a:solidFill>
                  <a:srgbClr val="FFFFFF"/>
                </a:solidFill>
              </a:ln>
            </c:spPr>
            <c:extLst>
              <c:ext xmlns:c16="http://schemas.microsoft.com/office/drawing/2014/chart" uri="{C3380CC4-5D6E-409C-BE32-E72D297353CC}">
                <c16:uniqueId val="{00000003-B259-4A3B-BC7B-45C506031747}"/>
              </c:ext>
            </c:extLst>
          </c:dPt>
          <c:dPt>
            <c:idx val="2"/>
            <c:bubble3D val="0"/>
            <c:spPr>
              <a:solidFill>
                <a:srgbClr val="648C2E"/>
              </a:solidFill>
              <a:ln>
                <a:solidFill>
                  <a:srgbClr val="FFFFFF"/>
                </a:solidFill>
              </a:ln>
            </c:spPr>
            <c:extLst>
              <c:ext xmlns:c16="http://schemas.microsoft.com/office/drawing/2014/chart" uri="{C3380CC4-5D6E-409C-BE32-E72D297353CC}">
                <c16:uniqueId val="{00000005-B259-4A3B-BC7B-45C506031747}"/>
              </c:ext>
            </c:extLst>
          </c:dPt>
          <c:dPt>
            <c:idx val="3"/>
            <c:bubble3D val="0"/>
            <c:spPr>
              <a:solidFill>
                <a:srgbClr val="C1D119"/>
              </a:solidFill>
              <a:ln>
                <a:solidFill>
                  <a:srgbClr val="FFFFFF"/>
                </a:solidFill>
              </a:ln>
            </c:spPr>
            <c:extLst>
              <c:ext xmlns:c16="http://schemas.microsoft.com/office/drawing/2014/chart" uri="{C3380CC4-5D6E-409C-BE32-E72D297353CC}">
                <c16:uniqueId val="{00000007-B259-4A3B-BC7B-45C506031747}"/>
              </c:ext>
            </c:extLst>
          </c:dPt>
          <c:dPt>
            <c:idx val="4"/>
            <c:bubble3D val="0"/>
            <c:spPr>
              <a:solidFill>
                <a:srgbClr val="E84A38"/>
              </a:solidFill>
              <a:ln>
                <a:solidFill>
                  <a:srgbClr val="FFFFFF"/>
                </a:solidFill>
              </a:ln>
            </c:spPr>
            <c:extLst>
              <c:ext xmlns:c16="http://schemas.microsoft.com/office/drawing/2014/chart" uri="{C3380CC4-5D6E-409C-BE32-E72D297353CC}">
                <c16:uniqueId val="{00000009-B259-4A3B-BC7B-45C506031747}"/>
              </c:ext>
            </c:extLst>
          </c:dPt>
          <c:dPt>
            <c:idx val="5"/>
            <c:bubble3D val="0"/>
            <c:spPr>
              <a:solidFill>
                <a:srgbClr val="55585A"/>
              </a:solidFill>
              <a:ln>
                <a:solidFill>
                  <a:srgbClr val="FFFFFF"/>
                </a:solidFill>
              </a:ln>
            </c:spPr>
            <c:extLst>
              <c:ext xmlns:c16="http://schemas.microsoft.com/office/drawing/2014/chart" uri="{C3380CC4-5D6E-409C-BE32-E72D297353CC}">
                <c16:uniqueId val="{0000000B-B259-4A3B-BC7B-45C506031747}"/>
              </c:ext>
            </c:extLst>
          </c:dPt>
          <c:cat>
            <c:strRef>
              <c:f>'UK scallop dredge under 15m'!$G$78:$G$83</c:f>
              <c:strCache>
                <c:ptCount val="6"/>
                <c:pt idx="0">
                  <c:v>Scallops - 51.1%</c:v>
                </c:pt>
                <c:pt idx="1">
                  <c:v>Cockles - 31.5%</c:v>
                </c:pt>
                <c:pt idx="2">
                  <c:v>Manilla Clam - 3.1%</c:v>
                </c:pt>
                <c:pt idx="3">
                  <c:v>Razor Clam - 3.1%</c:v>
                </c:pt>
                <c:pt idx="4">
                  <c:v>Sole - 2.6%</c:v>
                </c:pt>
                <c:pt idx="5">
                  <c:v>Others - 8.5%</c:v>
                </c:pt>
              </c:strCache>
            </c:strRef>
          </c:cat>
          <c:val>
            <c:numRef>
              <c:f>'UK scallop dredge under 15m'!$H$78:$H$83</c:f>
              <c:numCache>
                <c:formatCode>0.0%</c:formatCode>
                <c:ptCount val="6"/>
                <c:pt idx="0">
                  <c:v>0.51113524315543957</c:v>
                </c:pt>
                <c:pt idx="1">
                  <c:v>0.31487064401069803</c:v>
                </c:pt>
                <c:pt idx="2">
                  <c:v>3.1280286503611039E-2</c:v>
                </c:pt>
                <c:pt idx="3">
                  <c:v>3.1249840778540264E-2</c:v>
                </c:pt>
                <c:pt idx="4">
                  <c:v>2.6135724950970118E-2</c:v>
                </c:pt>
                <c:pt idx="5">
                  <c:v>8.5328260600740946E-2</c:v>
                </c:pt>
              </c:numCache>
            </c:numRef>
          </c:val>
          <c:extLst>
            <c:ext xmlns:c16="http://schemas.microsoft.com/office/drawing/2014/chart" uri="{C3380CC4-5D6E-409C-BE32-E72D297353CC}">
              <c16:uniqueId val="{0000000C-B259-4A3B-BC7B-45C50603174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under 15m'!$C$93</c:f>
              <c:strCache>
                <c:ptCount val="1"/>
                <c:pt idx="0">
                  <c:v>Scallops</c:v>
                </c:pt>
              </c:strCache>
            </c:strRef>
          </c:tx>
          <c:spPr>
            <a:solidFill>
              <a:srgbClr val="2273B9"/>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15m'!$D$93:$M$93</c:f>
              <c:numCache>
                <c:formatCode>0%</c:formatCode>
                <c:ptCount val="10"/>
                <c:pt idx="0">
                  <c:v>0.62817239922982482</c:v>
                </c:pt>
                <c:pt idx="1">
                  <c:v>0.58764601005496475</c:v>
                </c:pt>
                <c:pt idx="2">
                  <c:v>0.64152355260442473</c:v>
                </c:pt>
                <c:pt idx="3">
                  <c:v>0.74474859810200267</c:v>
                </c:pt>
                <c:pt idx="4">
                  <c:v>0.72075545795981943</c:v>
                </c:pt>
                <c:pt idx="5">
                  <c:v>0.6684537411584851</c:v>
                </c:pt>
                <c:pt idx="6">
                  <c:v>0.51563282680506617</c:v>
                </c:pt>
                <c:pt idx="7">
                  <c:v>0.52241797444190474</c:v>
                </c:pt>
                <c:pt idx="8">
                  <c:v>0.51113524315543957</c:v>
                </c:pt>
                <c:pt idx="9">
                  <c:v>0.46897875453297028</c:v>
                </c:pt>
              </c:numCache>
            </c:numRef>
          </c:val>
          <c:extLst>
            <c:ext xmlns:c16="http://schemas.microsoft.com/office/drawing/2014/chart" uri="{C3380CC4-5D6E-409C-BE32-E72D297353CC}">
              <c16:uniqueId val="{00000000-A6B4-431A-B848-CCE38B8BDD56}"/>
            </c:ext>
          </c:extLst>
        </c:ser>
        <c:ser>
          <c:idx val="1"/>
          <c:order val="1"/>
          <c:tx>
            <c:strRef>
              <c:f>'UK scallop dredge under 15m'!$C$94</c:f>
              <c:strCache>
                <c:ptCount val="1"/>
                <c:pt idx="0">
                  <c:v>Cockles</c:v>
                </c:pt>
              </c:strCache>
            </c:strRef>
          </c:tx>
          <c:spPr>
            <a:solidFill>
              <a:srgbClr val="E87308"/>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15m'!$D$94:$M$94</c:f>
              <c:numCache>
                <c:formatCode>0%</c:formatCode>
                <c:ptCount val="10"/>
                <c:pt idx="0">
                  <c:v>0.20863348629009296</c:v>
                </c:pt>
                <c:pt idx="1">
                  <c:v>0.30023936520980943</c:v>
                </c:pt>
                <c:pt idx="2">
                  <c:v>0.19686152009018201</c:v>
                </c:pt>
                <c:pt idx="3">
                  <c:v>0.12225173817117883</c:v>
                </c:pt>
                <c:pt idx="4">
                  <c:v>0.12055724959139828</c:v>
                </c:pt>
                <c:pt idx="5">
                  <c:v>0.19798146267145555</c:v>
                </c:pt>
                <c:pt idx="6">
                  <c:v>0.31624523803567939</c:v>
                </c:pt>
                <c:pt idx="7">
                  <c:v>0.32116243626646218</c:v>
                </c:pt>
                <c:pt idx="8">
                  <c:v>0.31487064401069803</c:v>
                </c:pt>
                <c:pt idx="9">
                  <c:v>0.36099766620968715</c:v>
                </c:pt>
              </c:numCache>
            </c:numRef>
          </c:val>
          <c:extLst>
            <c:ext xmlns:c16="http://schemas.microsoft.com/office/drawing/2014/chart" uri="{C3380CC4-5D6E-409C-BE32-E72D297353CC}">
              <c16:uniqueId val="{00000001-A6B4-431A-B848-CCE38B8BDD56}"/>
            </c:ext>
          </c:extLst>
        </c:ser>
        <c:ser>
          <c:idx val="2"/>
          <c:order val="2"/>
          <c:tx>
            <c:strRef>
              <c:f>'UK scallop dredge under 15m'!$C$95</c:f>
              <c:strCache>
                <c:ptCount val="1"/>
                <c:pt idx="0">
                  <c:v>Manilla Clam</c:v>
                </c:pt>
              </c:strCache>
            </c:strRef>
          </c:tx>
          <c:spPr>
            <a:solidFill>
              <a:srgbClr val="648C2E"/>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15m'!$D$95:$M$95</c:f>
              <c:numCache>
                <c:formatCode>0%</c:formatCode>
                <c:ptCount val="10"/>
                <c:pt idx="0">
                  <c:v>1.2119588158582566E-2</c:v>
                </c:pt>
                <c:pt idx="1">
                  <c:v>1.0334909089839974E-2</c:v>
                </c:pt>
                <c:pt idx="2">
                  <c:v>2.5785374445804594E-2</c:v>
                </c:pt>
                <c:pt idx="3">
                  <c:v>1.7776084358282769E-2</c:v>
                </c:pt>
                <c:pt idx="4">
                  <c:v>1.8336353793447252E-2</c:v>
                </c:pt>
                <c:pt idx="5">
                  <c:v>2.1108349993125816E-2</c:v>
                </c:pt>
                <c:pt idx="6">
                  <c:v>2.1000933911881431E-2</c:v>
                </c:pt>
                <c:pt idx="7">
                  <c:v>3.5554804360468678E-2</c:v>
                </c:pt>
                <c:pt idx="8">
                  <c:v>3.1280286503611039E-2</c:v>
                </c:pt>
                <c:pt idx="9">
                  <c:v>2.7483132605135411E-2</c:v>
                </c:pt>
              </c:numCache>
            </c:numRef>
          </c:val>
          <c:extLst>
            <c:ext xmlns:c16="http://schemas.microsoft.com/office/drawing/2014/chart" uri="{C3380CC4-5D6E-409C-BE32-E72D297353CC}">
              <c16:uniqueId val="{00000002-A6B4-431A-B848-CCE38B8BDD56}"/>
            </c:ext>
          </c:extLst>
        </c:ser>
        <c:ser>
          <c:idx val="3"/>
          <c:order val="3"/>
          <c:tx>
            <c:strRef>
              <c:f>'UK scallop dredge under 15m'!$C$96</c:f>
              <c:strCache>
                <c:ptCount val="1"/>
                <c:pt idx="0">
                  <c:v>Razor Clam</c:v>
                </c:pt>
              </c:strCache>
            </c:strRef>
          </c:tx>
          <c:spPr>
            <a:solidFill>
              <a:srgbClr val="C1D119"/>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15m'!$D$96:$M$96</c:f>
              <c:numCache>
                <c:formatCode>0%</c:formatCode>
                <c:ptCount val="10"/>
                <c:pt idx="5">
                  <c:v>1.268155529860091E-2</c:v>
                </c:pt>
                <c:pt idx="8">
                  <c:v>3.1249840778540264E-2</c:v>
                </c:pt>
                <c:pt idx="9">
                  <c:v>2.882574558047787E-2</c:v>
                </c:pt>
              </c:numCache>
            </c:numRef>
          </c:val>
          <c:extLst>
            <c:ext xmlns:c16="http://schemas.microsoft.com/office/drawing/2014/chart" uri="{C3380CC4-5D6E-409C-BE32-E72D297353CC}">
              <c16:uniqueId val="{00000003-A6B4-431A-B848-CCE38B8BDD56}"/>
            </c:ext>
          </c:extLst>
        </c:ser>
        <c:ser>
          <c:idx val="4"/>
          <c:order val="4"/>
          <c:tx>
            <c:strRef>
              <c:f>'UK scallop dredge under 15m'!$C$97</c:f>
              <c:strCache>
                <c:ptCount val="1"/>
                <c:pt idx="0">
                  <c:v>Sole</c:v>
                </c:pt>
              </c:strCache>
            </c:strRef>
          </c:tx>
          <c:spPr>
            <a:solidFill>
              <a:srgbClr val="E84A38"/>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15m'!$D$97:$M$97</c:f>
              <c:numCache>
                <c:formatCode>0%</c:formatCode>
                <c:ptCount val="10"/>
                <c:pt idx="0">
                  <c:v>1.0927562568264619E-2</c:v>
                </c:pt>
                <c:pt idx="6">
                  <c:v>2.2917875008696017E-2</c:v>
                </c:pt>
                <c:pt idx="7">
                  <c:v>2.1638556074702057E-2</c:v>
                </c:pt>
                <c:pt idx="8">
                  <c:v>2.6135724950970118E-2</c:v>
                </c:pt>
                <c:pt idx="9">
                  <c:v>2.3772163997623302E-2</c:v>
                </c:pt>
              </c:numCache>
            </c:numRef>
          </c:val>
          <c:extLst>
            <c:ext xmlns:c16="http://schemas.microsoft.com/office/drawing/2014/chart" uri="{C3380CC4-5D6E-409C-BE32-E72D297353CC}">
              <c16:uniqueId val="{00000004-A6B4-431A-B848-CCE38B8BDD56}"/>
            </c:ext>
          </c:extLst>
        </c:ser>
        <c:ser>
          <c:idx val="5"/>
          <c:order val="5"/>
          <c:tx>
            <c:strRef>
              <c:f>'UK scallop dredge under 15m'!$C$98</c:f>
              <c:strCache>
                <c:ptCount val="1"/>
                <c:pt idx="0">
                  <c:v>Queen Scallops</c:v>
                </c:pt>
              </c:strCache>
            </c:strRef>
          </c:tx>
          <c:spPr>
            <a:solidFill>
              <a:srgbClr val="0F9AA9"/>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15m'!$D$98:$M$98</c:f>
              <c:numCache>
                <c:formatCode>0%</c:formatCode>
                <c:ptCount val="10"/>
                <c:pt idx="0">
                  <c:v>6.689289940242453E-2</c:v>
                </c:pt>
                <c:pt idx="1">
                  <c:v>3.5317946210666487E-2</c:v>
                </c:pt>
                <c:pt idx="2">
                  <c:v>4.1250719681486053E-2</c:v>
                </c:pt>
                <c:pt idx="3">
                  <c:v>4.1955790596132754E-2</c:v>
                </c:pt>
                <c:pt idx="4">
                  <c:v>4.123756082028536E-2</c:v>
                </c:pt>
                <c:pt idx="5">
                  <c:v>2.4486952070146485E-2</c:v>
                </c:pt>
                <c:pt idx="7">
                  <c:v>1.9363220159375145E-2</c:v>
                </c:pt>
              </c:numCache>
            </c:numRef>
          </c:val>
          <c:extLst>
            <c:ext xmlns:c16="http://schemas.microsoft.com/office/drawing/2014/chart" uri="{C3380CC4-5D6E-409C-BE32-E72D297353CC}">
              <c16:uniqueId val="{00000005-A6B4-431A-B848-CCE38B8BDD56}"/>
            </c:ext>
          </c:extLst>
        </c:ser>
        <c:ser>
          <c:idx val="6"/>
          <c:order val="6"/>
          <c:tx>
            <c:strRef>
              <c:f>'UK scallop dredge under 15m'!$C$99</c:f>
              <c:strCache>
                <c:ptCount val="1"/>
                <c:pt idx="0">
                  <c:v>Mussels</c:v>
                </c:pt>
              </c:strCache>
            </c:strRef>
          </c:tx>
          <c:spPr>
            <a:solidFill>
              <a:srgbClr val="FED825"/>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15m'!$D$99:$M$99</c:f>
              <c:numCache>
                <c:formatCode>0%</c:formatCode>
                <c:ptCount val="10"/>
                <c:pt idx="2">
                  <c:v>2.7760692307386488E-2</c:v>
                </c:pt>
                <c:pt idx="4">
                  <c:v>1.553495050674023E-2</c:v>
                </c:pt>
                <c:pt idx="6">
                  <c:v>2.4127922406505208E-2</c:v>
                </c:pt>
              </c:numCache>
            </c:numRef>
          </c:val>
          <c:extLst>
            <c:ext xmlns:c16="http://schemas.microsoft.com/office/drawing/2014/chart" uri="{C3380CC4-5D6E-409C-BE32-E72D297353CC}">
              <c16:uniqueId val="{00000006-A6B4-431A-B848-CCE38B8BDD56}"/>
            </c:ext>
          </c:extLst>
        </c:ser>
        <c:ser>
          <c:idx val="7"/>
          <c:order val="7"/>
          <c:tx>
            <c:strRef>
              <c:f>'UK scallop dredge under 15m'!$C$100</c:f>
              <c:strCache>
                <c:ptCount val="1"/>
                <c:pt idx="0">
                  <c:v>Nephrops</c:v>
                </c:pt>
              </c:strCache>
            </c:strRef>
          </c:tx>
          <c:spPr>
            <a:solidFill>
              <a:srgbClr val="707271"/>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15m'!$D$100:$M$100</c:f>
              <c:numCache>
                <c:formatCode>0%</c:formatCode>
                <c:ptCount val="10"/>
                <c:pt idx="1">
                  <c:v>7.6106346343076245E-3</c:v>
                </c:pt>
                <c:pt idx="3">
                  <c:v>1.3405314290943977E-2</c:v>
                </c:pt>
              </c:numCache>
            </c:numRef>
          </c:val>
          <c:extLst>
            <c:ext xmlns:c16="http://schemas.microsoft.com/office/drawing/2014/chart" uri="{C3380CC4-5D6E-409C-BE32-E72D297353CC}">
              <c16:uniqueId val="{00000007-A6B4-431A-B848-CCE38B8BDD56}"/>
            </c:ext>
          </c:extLst>
        </c:ser>
        <c:ser>
          <c:idx val="8"/>
          <c:order val="8"/>
          <c:tx>
            <c:strRef>
              <c:f>'UK scallop dredge under 15m'!$C$101</c:f>
              <c:strCache>
                <c:ptCount val="1"/>
                <c:pt idx="0">
                  <c:v>Others</c:v>
                </c:pt>
              </c:strCache>
            </c:strRef>
          </c:tx>
          <c:spPr>
            <a:solidFill>
              <a:srgbClr val="55585A"/>
            </a:solidFill>
            <a:ln>
              <a:solidFill>
                <a:srgbClr val="FFFFFF"/>
              </a:solidFill>
            </a:ln>
          </c:spPr>
          <c:invertIfNegative val="0"/>
          <c:cat>
            <c:numRef>
              <c:f>'UK scallop dredge under 15m'!$D$92:$M$92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'UK scallop dredge under 15m'!$D$101:$M$101</c:f>
              <c:numCache>
                <c:formatCode>0%</c:formatCode>
                <c:ptCount val="10"/>
                <c:pt idx="0">
                  <c:v>7.3254064350810527E-2</c:v>
                </c:pt>
                <c:pt idx="1">
                  <c:v>5.8851134800411785E-2</c:v>
                </c:pt>
                <c:pt idx="2">
                  <c:v>6.6818140870716108E-2</c:v>
                </c:pt>
                <c:pt idx="3">
                  <c:v>5.9862474481459038E-2</c:v>
                </c:pt>
                <c:pt idx="4">
                  <c:v>8.3578427328309404E-2</c:v>
                </c:pt>
                <c:pt idx="5">
                  <c:v>7.52879388081861E-2</c:v>
                </c:pt>
                <c:pt idx="6">
                  <c:v>0.10007520383217176</c:v>
                </c:pt>
                <c:pt idx="7">
                  <c:v>7.9863008697087165E-2</c:v>
                </c:pt>
                <c:pt idx="8">
                  <c:v>8.5328260600741015E-2</c:v>
                </c:pt>
                <c:pt idx="9">
                  <c:v>8.9942537074106002E-2</c:v>
                </c:pt>
              </c:numCache>
            </c:numRef>
          </c:val>
          <c:extLst>
            <c:ext xmlns:c16="http://schemas.microsoft.com/office/drawing/2014/chart" uri="{C3380CC4-5D6E-409C-BE32-E72D297353CC}">
              <c16:uniqueId val="{00000008-A6B4-431A-B848-CCE38B8BDD56}"/>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under 15m'!$B$163</c:f>
              <c:strCache>
                <c:ptCount val="1"/>
                <c:pt idx="0">
                  <c:v>Scallops</c:v>
                </c:pt>
              </c:strCache>
            </c:strRef>
          </c:tx>
          <c:spPr>
            <a:solidFill>
              <a:srgbClr val="2273B9"/>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15m'!$C$163:$E$163</c:f>
              <c:numCache>
                <c:formatCode>0%</c:formatCode>
                <c:ptCount val="3"/>
                <c:pt idx="0">
                  <c:v>0.2101414710268073</c:v>
                </c:pt>
                <c:pt idx="1">
                  <c:v>0.80190893777594274</c:v>
                </c:pt>
                <c:pt idx="2">
                  <c:v>0.64923345686179423</c:v>
                </c:pt>
              </c:numCache>
            </c:numRef>
          </c:val>
          <c:extLst>
            <c:ext xmlns:c16="http://schemas.microsoft.com/office/drawing/2014/chart" uri="{C3380CC4-5D6E-409C-BE32-E72D297353CC}">
              <c16:uniqueId val="{00000000-B7F8-4439-9413-C7FBCF1BECEC}"/>
            </c:ext>
          </c:extLst>
        </c:ser>
        <c:ser>
          <c:idx val="1"/>
          <c:order val="1"/>
          <c:tx>
            <c:strRef>
              <c:f>'UK scallop dredge under 15m'!$B$164</c:f>
              <c:strCache>
                <c:ptCount val="1"/>
                <c:pt idx="0">
                  <c:v>Queen Scallops</c:v>
                </c:pt>
              </c:strCache>
            </c:strRef>
          </c:tx>
          <c:spPr>
            <a:solidFill>
              <a:srgbClr val="0F9AA9"/>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15m'!$C$164:$E$164</c:f>
              <c:numCache>
                <c:formatCode>0%</c:formatCode>
                <c:ptCount val="3"/>
                <c:pt idx="0">
                  <c:v>0</c:v>
                </c:pt>
                <c:pt idx="1">
                  <c:v>7.7203821903546105E-2</c:v>
                </c:pt>
                <c:pt idx="2">
                  <c:v>7.6489531187557663E-2</c:v>
                </c:pt>
              </c:numCache>
            </c:numRef>
          </c:val>
          <c:extLst>
            <c:ext xmlns:c16="http://schemas.microsoft.com/office/drawing/2014/chart" uri="{C3380CC4-5D6E-409C-BE32-E72D297353CC}">
              <c16:uniqueId val="{00000001-B7F8-4439-9413-C7FBCF1BECEC}"/>
            </c:ext>
          </c:extLst>
        </c:ser>
        <c:ser>
          <c:idx val="2"/>
          <c:order val="2"/>
          <c:tx>
            <c:strRef>
              <c:f>'UK scallop dredge under 15m'!$B$165</c:f>
              <c:strCache>
                <c:ptCount val="1"/>
                <c:pt idx="0">
                  <c:v>Cockles</c:v>
                </c:pt>
              </c:strCache>
            </c:strRef>
          </c:tx>
          <c:spPr>
            <a:solidFill>
              <a:srgbClr val="E87308"/>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15m'!$C$165:$E$165</c:f>
              <c:numCache>
                <c:formatCode>0%</c:formatCode>
                <c:ptCount val="3"/>
                <c:pt idx="0">
                  <c:v>0.71271486329682887</c:v>
                </c:pt>
                <c:pt idx="1">
                  <c:v>3.2120409952279126E-2</c:v>
                </c:pt>
                <c:pt idx="2">
                  <c:v>0.14848582880681291</c:v>
                </c:pt>
              </c:numCache>
            </c:numRef>
          </c:val>
          <c:extLst>
            <c:ext xmlns:c16="http://schemas.microsoft.com/office/drawing/2014/chart" uri="{C3380CC4-5D6E-409C-BE32-E72D297353CC}">
              <c16:uniqueId val="{00000002-B7F8-4439-9413-C7FBCF1BECEC}"/>
            </c:ext>
          </c:extLst>
        </c:ser>
        <c:ser>
          <c:idx val="3"/>
          <c:order val="3"/>
          <c:tx>
            <c:strRef>
              <c:f>'UK scallop dredge under 15m'!$B$166</c:f>
              <c:strCache>
                <c:ptCount val="1"/>
                <c:pt idx="0">
                  <c:v>Pilchards</c:v>
                </c:pt>
              </c:strCache>
            </c:strRef>
          </c:tx>
          <c:spPr>
            <a:solidFill>
              <a:srgbClr val="707271"/>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15m'!$C$166:$E$166</c:f>
              <c:numCache>
                <c:formatCode>0%</c:formatCode>
                <c:ptCount val="3"/>
                <c:pt idx="0">
                  <c:v>0</c:v>
                </c:pt>
                <c:pt idx="1">
                  <c:v>2.0367892667996278E-2</c:v>
                </c:pt>
                <c:pt idx="2">
                  <c:v>0</c:v>
                </c:pt>
              </c:numCache>
            </c:numRef>
          </c:val>
          <c:extLst>
            <c:ext xmlns:c16="http://schemas.microsoft.com/office/drawing/2014/chart" uri="{C3380CC4-5D6E-409C-BE32-E72D297353CC}">
              <c16:uniqueId val="{00000003-B7F8-4439-9413-C7FBCF1BECEC}"/>
            </c:ext>
          </c:extLst>
        </c:ser>
        <c:ser>
          <c:idx val="4"/>
          <c:order val="4"/>
          <c:tx>
            <c:strRef>
              <c:f>'UK scallop dredge under 15m'!$B$167</c:f>
              <c:strCache>
                <c:ptCount val="1"/>
                <c:pt idx="0">
                  <c:v>Herring</c:v>
                </c:pt>
              </c:strCache>
            </c:strRef>
          </c:tx>
          <c:spPr>
            <a:solidFill>
              <a:srgbClr val="51AA81"/>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15m'!$C$167:$E$167</c:f>
              <c:numCache>
                <c:formatCode>0%</c:formatCode>
                <c:ptCount val="3"/>
                <c:pt idx="0">
                  <c:v>0</c:v>
                </c:pt>
                <c:pt idx="1">
                  <c:v>1.6439289230116044E-2</c:v>
                </c:pt>
                <c:pt idx="2">
                  <c:v>2.4895050639420793E-2</c:v>
                </c:pt>
              </c:numCache>
            </c:numRef>
          </c:val>
          <c:extLst>
            <c:ext xmlns:c16="http://schemas.microsoft.com/office/drawing/2014/chart" uri="{C3380CC4-5D6E-409C-BE32-E72D297353CC}">
              <c16:uniqueId val="{00000004-B7F8-4439-9413-C7FBCF1BECEC}"/>
            </c:ext>
          </c:extLst>
        </c:ser>
        <c:ser>
          <c:idx val="5"/>
          <c:order val="5"/>
          <c:tx>
            <c:strRef>
              <c:f>'UK scallop dredge under 15m'!$B$168</c:f>
              <c:strCache>
                <c:ptCount val="1"/>
                <c:pt idx="0">
                  <c:v>Brown Shrimps</c:v>
                </c:pt>
              </c:strCache>
            </c:strRef>
          </c:tx>
          <c:spPr>
            <a:solidFill>
              <a:srgbClr val="E40D2C"/>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15m'!$C$168:$E$168</c:f>
              <c:numCache>
                <c:formatCode>0%</c:formatCode>
                <c:ptCount val="3"/>
                <c:pt idx="0">
                  <c:v>0</c:v>
                </c:pt>
                <c:pt idx="1">
                  <c:v>0</c:v>
                </c:pt>
                <c:pt idx="2">
                  <c:v>2.4070759965423204E-2</c:v>
                </c:pt>
              </c:numCache>
            </c:numRef>
          </c:val>
          <c:extLst>
            <c:ext xmlns:c16="http://schemas.microsoft.com/office/drawing/2014/chart" uri="{C3380CC4-5D6E-409C-BE32-E72D297353CC}">
              <c16:uniqueId val="{00000005-B7F8-4439-9413-C7FBCF1BECEC}"/>
            </c:ext>
          </c:extLst>
        </c:ser>
        <c:ser>
          <c:idx val="6"/>
          <c:order val="6"/>
          <c:tx>
            <c:strRef>
              <c:f>'UK scallop dredge under 15m'!$B$169</c:f>
              <c:strCache>
                <c:ptCount val="1"/>
                <c:pt idx="0">
                  <c:v>Mussels</c:v>
                </c:pt>
              </c:strCache>
            </c:strRef>
          </c:tx>
          <c:spPr>
            <a:solidFill>
              <a:srgbClr val="FED825"/>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15m'!$C$169:$E$169</c:f>
              <c:numCache>
                <c:formatCode>0%</c:formatCode>
                <c:ptCount val="3"/>
                <c:pt idx="0">
                  <c:v>4.138913562844912E-2</c:v>
                </c:pt>
                <c:pt idx="1">
                  <c:v>0</c:v>
                </c:pt>
                <c:pt idx="2">
                  <c:v>0</c:v>
                </c:pt>
              </c:numCache>
            </c:numRef>
          </c:val>
          <c:extLst>
            <c:ext xmlns:c16="http://schemas.microsoft.com/office/drawing/2014/chart" uri="{C3380CC4-5D6E-409C-BE32-E72D297353CC}">
              <c16:uniqueId val="{00000006-B7F8-4439-9413-C7FBCF1BECEC}"/>
            </c:ext>
          </c:extLst>
        </c:ser>
        <c:ser>
          <c:idx val="7"/>
          <c:order val="7"/>
          <c:tx>
            <c:strRef>
              <c:f>'UK scallop dredge under 15m'!$B$170</c:f>
              <c:strCache>
                <c:ptCount val="1"/>
                <c:pt idx="0">
                  <c:v>Manilla Clam</c:v>
                </c:pt>
              </c:strCache>
            </c:strRef>
          </c:tx>
          <c:spPr>
            <a:solidFill>
              <a:srgbClr val="648C2E"/>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15m'!$C$170:$E$170</c:f>
              <c:numCache>
                <c:formatCode>0%</c:formatCode>
                <c:ptCount val="3"/>
                <c:pt idx="0">
                  <c:v>1.5767964205928395E-2</c:v>
                </c:pt>
                <c:pt idx="1">
                  <c:v>0</c:v>
                </c:pt>
                <c:pt idx="2">
                  <c:v>0</c:v>
                </c:pt>
              </c:numCache>
            </c:numRef>
          </c:val>
          <c:extLst>
            <c:ext xmlns:c16="http://schemas.microsoft.com/office/drawing/2014/chart" uri="{C3380CC4-5D6E-409C-BE32-E72D297353CC}">
              <c16:uniqueId val="{00000007-B7F8-4439-9413-C7FBCF1BECEC}"/>
            </c:ext>
          </c:extLst>
        </c:ser>
        <c:ser>
          <c:idx val="8"/>
          <c:order val="8"/>
          <c:tx>
            <c:strRef>
              <c:f>'UK scallop dredge under 15m'!$B$171</c:f>
              <c:strCache>
                <c:ptCount val="1"/>
                <c:pt idx="0">
                  <c:v>Razor Clam</c:v>
                </c:pt>
              </c:strCache>
            </c:strRef>
          </c:tx>
          <c:spPr>
            <a:solidFill>
              <a:srgbClr val="C1D119"/>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15m'!$C$171:$E$171</c:f>
              <c:numCache>
                <c:formatCode>0%</c:formatCode>
                <c:ptCount val="3"/>
                <c:pt idx="0">
                  <c:v>1.2308475064247719E-2</c:v>
                </c:pt>
                <c:pt idx="1">
                  <c:v>0</c:v>
                </c:pt>
                <c:pt idx="2">
                  <c:v>0</c:v>
                </c:pt>
              </c:numCache>
            </c:numRef>
          </c:val>
          <c:extLst>
            <c:ext xmlns:c16="http://schemas.microsoft.com/office/drawing/2014/chart" uri="{C3380CC4-5D6E-409C-BE32-E72D297353CC}">
              <c16:uniqueId val="{00000008-B7F8-4439-9413-C7FBCF1BECEC}"/>
            </c:ext>
          </c:extLst>
        </c:ser>
        <c:ser>
          <c:idx val="9"/>
          <c:order val="9"/>
          <c:tx>
            <c:strRef>
              <c:f>'UK scallop dredge under 15m'!$B$172</c:f>
              <c:strCache>
                <c:ptCount val="1"/>
                <c:pt idx="0">
                  <c:v>Others</c:v>
                </c:pt>
              </c:strCache>
            </c:strRef>
          </c:tx>
          <c:spPr>
            <a:solidFill>
              <a:srgbClr val="55585A"/>
            </a:solidFill>
            <a:ln>
              <a:solidFill>
                <a:srgbClr val="FFFFFF"/>
              </a:solidFill>
            </a:ln>
          </c:spPr>
          <c:invertIfNegative val="0"/>
          <c:cat>
            <c:strRef>
              <c:f>'UK scallop dredge under 15m'!$C$162:$E$162</c:f>
              <c:strCache>
                <c:ptCount val="3"/>
                <c:pt idx="0">
                  <c:v>Most
profitable
quartile</c:v>
                </c:pt>
                <c:pt idx="1">
                  <c:v>Middle 
two quartiles</c:v>
                </c:pt>
                <c:pt idx="2">
                  <c:v>Least
profitable
quartile</c:v>
                </c:pt>
              </c:strCache>
            </c:strRef>
          </c:cat>
          <c:val>
            <c:numRef>
              <c:f>'UK scallop dredge under 15m'!$C$172:$E$172</c:f>
              <c:numCache>
                <c:formatCode>0%</c:formatCode>
                <c:ptCount val="3"/>
                <c:pt idx="0">
                  <c:v>7.678090777738511E-3</c:v>
                </c:pt>
                <c:pt idx="1">
                  <c:v>5.1959648470119579E-2</c:v>
                </c:pt>
                <c:pt idx="2">
                  <c:v>7.6825372538991243E-2</c:v>
                </c:pt>
              </c:numCache>
            </c:numRef>
          </c:val>
          <c:extLst>
            <c:ext xmlns:c16="http://schemas.microsoft.com/office/drawing/2014/chart" uri="{C3380CC4-5D6E-409C-BE32-E72D297353CC}">
              <c16:uniqueId val="{00000009-B7F8-4439-9413-C7FBCF1BECEC}"/>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under 15m'!$H$163</c:f>
              <c:strCache>
                <c:ptCount val="1"/>
                <c:pt idx="0">
                  <c:v>Scallops</c:v>
                </c:pt>
              </c:strCache>
            </c:strRef>
          </c:tx>
          <c:spPr>
            <a:solidFill>
              <a:srgbClr val="2273B9"/>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15m'!$I$163:$K$163</c:f>
              <c:numCache>
                <c:formatCode>0%</c:formatCode>
                <c:ptCount val="3"/>
                <c:pt idx="0">
                  <c:v>0.24736959540161341</c:v>
                </c:pt>
                <c:pt idx="1">
                  <c:v>0.84017333264511951</c:v>
                </c:pt>
                <c:pt idx="2">
                  <c:v>0.72748557329735475</c:v>
                </c:pt>
              </c:numCache>
            </c:numRef>
          </c:val>
          <c:extLst>
            <c:ext xmlns:c16="http://schemas.microsoft.com/office/drawing/2014/chart" uri="{C3380CC4-5D6E-409C-BE32-E72D297353CC}">
              <c16:uniqueId val="{00000000-D088-4BC6-B97D-9F986EAA1C14}"/>
            </c:ext>
          </c:extLst>
        </c:ser>
        <c:ser>
          <c:idx val="1"/>
          <c:order val="1"/>
          <c:tx>
            <c:strRef>
              <c:f>'UK scallop dredge under 15m'!$H$164</c:f>
              <c:strCache>
                <c:ptCount val="1"/>
                <c:pt idx="0">
                  <c:v>Sole</c:v>
                </c:pt>
              </c:strCache>
            </c:strRef>
          </c:tx>
          <c:spPr>
            <a:solidFill>
              <a:srgbClr val="E84A38"/>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15m'!$I$164:$K$164</c:f>
              <c:numCache>
                <c:formatCode>0%</c:formatCode>
                <c:ptCount val="3"/>
                <c:pt idx="0">
                  <c:v>0</c:v>
                </c:pt>
                <c:pt idx="1">
                  <c:v>3.7848327220347991E-2</c:v>
                </c:pt>
                <c:pt idx="2">
                  <c:v>0</c:v>
                </c:pt>
              </c:numCache>
            </c:numRef>
          </c:val>
          <c:extLst>
            <c:ext xmlns:c16="http://schemas.microsoft.com/office/drawing/2014/chart" uri="{C3380CC4-5D6E-409C-BE32-E72D297353CC}">
              <c16:uniqueId val="{00000001-D088-4BC6-B97D-9F986EAA1C14}"/>
            </c:ext>
          </c:extLst>
        </c:ser>
        <c:ser>
          <c:idx val="2"/>
          <c:order val="2"/>
          <c:tx>
            <c:strRef>
              <c:f>'UK scallop dredge under 15m'!$H$165</c:f>
              <c:strCache>
                <c:ptCount val="1"/>
                <c:pt idx="0">
                  <c:v>Queen Scallops</c:v>
                </c:pt>
              </c:strCache>
            </c:strRef>
          </c:tx>
          <c:spPr>
            <a:solidFill>
              <a:srgbClr val="0F9AA9"/>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15m'!$I$165:$K$165</c:f>
              <c:numCache>
                <c:formatCode>0%</c:formatCode>
                <c:ptCount val="3"/>
                <c:pt idx="0">
                  <c:v>0</c:v>
                </c:pt>
                <c:pt idx="1">
                  <c:v>2.9440103091585137E-2</c:v>
                </c:pt>
                <c:pt idx="2">
                  <c:v>3.2325327812709817E-2</c:v>
                </c:pt>
              </c:numCache>
            </c:numRef>
          </c:val>
          <c:extLst>
            <c:ext xmlns:c16="http://schemas.microsoft.com/office/drawing/2014/chart" uri="{C3380CC4-5D6E-409C-BE32-E72D297353CC}">
              <c16:uniqueId val="{00000002-D088-4BC6-B97D-9F986EAA1C14}"/>
            </c:ext>
          </c:extLst>
        </c:ser>
        <c:ser>
          <c:idx val="3"/>
          <c:order val="3"/>
          <c:tx>
            <c:strRef>
              <c:f>'UK scallop dredge under 15m'!$H$166</c:f>
              <c:strCache>
                <c:ptCount val="1"/>
                <c:pt idx="0">
                  <c:v>Manilla Clam</c:v>
                </c:pt>
              </c:strCache>
            </c:strRef>
          </c:tx>
          <c:spPr>
            <a:solidFill>
              <a:srgbClr val="648C2E"/>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15m'!$I$166:$K$166</c:f>
              <c:numCache>
                <c:formatCode>0%</c:formatCode>
                <c:ptCount val="3"/>
                <c:pt idx="0">
                  <c:v>3.5173291777787309E-2</c:v>
                </c:pt>
                <c:pt idx="1">
                  <c:v>2.5324343325516037E-2</c:v>
                </c:pt>
                <c:pt idx="2">
                  <c:v>3.9239337858300902E-2</c:v>
                </c:pt>
              </c:numCache>
            </c:numRef>
          </c:val>
          <c:extLst>
            <c:ext xmlns:c16="http://schemas.microsoft.com/office/drawing/2014/chart" uri="{C3380CC4-5D6E-409C-BE32-E72D297353CC}">
              <c16:uniqueId val="{00000003-D088-4BC6-B97D-9F986EAA1C14}"/>
            </c:ext>
          </c:extLst>
        </c:ser>
        <c:ser>
          <c:idx val="4"/>
          <c:order val="4"/>
          <c:tx>
            <c:strRef>
              <c:f>'UK scallop dredge under 15m'!$H$167</c:f>
              <c:strCache>
                <c:ptCount val="1"/>
                <c:pt idx="0">
                  <c:v>Anglerfish</c:v>
                </c:pt>
              </c:strCache>
            </c:strRef>
          </c:tx>
          <c:spPr>
            <a:solidFill>
              <a:srgbClr val="169FDB"/>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15m'!$I$167:$K$167</c:f>
              <c:numCache>
                <c:formatCode>0%</c:formatCode>
                <c:ptCount val="3"/>
                <c:pt idx="0">
                  <c:v>0</c:v>
                </c:pt>
                <c:pt idx="1">
                  <c:v>1.6653915759995697E-2</c:v>
                </c:pt>
                <c:pt idx="2">
                  <c:v>0</c:v>
                </c:pt>
              </c:numCache>
            </c:numRef>
          </c:val>
          <c:extLst>
            <c:ext xmlns:c16="http://schemas.microsoft.com/office/drawing/2014/chart" uri="{C3380CC4-5D6E-409C-BE32-E72D297353CC}">
              <c16:uniqueId val="{00000004-D088-4BC6-B97D-9F986EAA1C14}"/>
            </c:ext>
          </c:extLst>
        </c:ser>
        <c:ser>
          <c:idx val="5"/>
          <c:order val="5"/>
          <c:tx>
            <c:strRef>
              <c:f>'UK scallop dredge under 15m'!$H$168</c:f>
              <c:strCache>
                <c:ptCount val="1"/>
                <c:pt idx="0">
                  <c:v>Cockles</c:v>
                </c:pt>
              </c:strCache>
            </c:strRef>
          </c:tx>
          <c:spPr>
            <a:solidFill>
              <a:srgbClr val="E87308"/>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15m'!$I$168:$K$168</c:f>
              <c:numCache>
                <c:formatCode>0%</c:formatCode>
                <c:ptCount val="3"/>
                <c:pt idx="0">
                  <c:v>0.58772497988444827</c:v>
                </c:pt>
                <c:pt idx="1">
                  <c:v>0</c:v>
                </c:pt>
                <c:pt idx="2">
                  <c:v>5.2464862506801671E-2</c:v>
                </c:pt>
              </c:numCache>
            </c:numRef>
          </c:val>
          <c:extLst>
            <c:ext xmlns:c16="http://schemas.microsoft.com/office/drawing/2014/chart" uri="{C3380CC4-5D6E-409C-BE32-E72D297353CC}">
              <c16:uniqueId val="{00000005-D088-4BC6-B97D-9F986EAA1C14}"/>
            </c:ext>
          </c:extLst>
        </c:ser>
        <c:ser>
          <c:idx val="6"/>
          <c:order val="6"/>
          <c:tx>
            <c:strRef>
              <c:f>'UK scallop dredge under 15m'!$H$169</c:f>
              <c:strCache>
                <c:ptCount val="1"/>
                <c:pt idx="0">
                  <c:v>Brown Shrimps</c:v>
                </c:pt>
              </c:strCache>
            </c:strRef>
          </c:tx>
          <c:spPr>
            <a:solidFill>
              <a:srgbClr val="E40D2C"/>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15m'!$I$169:$K$169</c:f>
              <c:numCache>
                <c:formatCode>0%</c:formatCode>
                <c:ptCount val="3"/>
                <c:pt idx="0">
                  <c:v>0</c:v>
                </c:pt>
                <c:pt idx="1">
                  <c:v>0</c:v>
                </c:pt>
                <c:pt idx="2">
                  <c:v>3.5807212943620111E-2</c:v>
                </c:pt>
              </c:numCache>
            </c:numRef>
          </c:val>
          <c:extLst>
            <c:ext xmlns:c16="http://schemas.microsoft.com/office/drawing/2014/chart" uri="{C3380CC4-5D6E-409C-BE32-E72D297353CC}">
              <c16:uniqueId val="{00000006-D088-4BC6-B97D-9F986EAA1C14}"/>
            </c:ext>
          </c:extLst>
        </c:ser>
        <c:ser>
          <c:idx val="7"/>
          <c:order val="7"/>
          <c:tx>
            <c:strRef>
              <c:f>'UK scallop dredge under 15m'!$H$170</c:f>
              <c:strCache>
                <c:ptCount val="1"/>
                <c:pt idx="0">
                  <c:v>Razor Clam</c:v>
                </c:pt>
              </c:strCache>
            </c:strRef>
          </c:tx>
          <c:spPr>
            <a:solidFill>
              <a:srgbClr val="C1D119"/>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15m'!$I$170:$K$170</c:f>
              <c:numCache>
                <c:formatCode>0%</c:formatCode>
                <c:ptCount val="3"/>
                <c:pt idx="0">
                  <c:v>6.0252574133491325E-2</c:v>
                </c:pt>
                <c:pt idx="1">
                  <c:v>0</c:v>
                </c:pt>
                <c:pt idx="2">
                  <c:v>0</c:v>
                </c:pt>
              </c:numCache>
            </c:numRef>
          </c:val>
          <c:extLst>
            <c:ext xmlns:c16="http://schemas.microsoft.com/office/drawing/2014/chart" uri="{C3380CC4-5D6E-409C-BE32-E72D297353CC}">
              <c16:uniqueId val="{00000007-D088-4BC6-B97D-9F986EAA1C14}"/>
            </c:ext>
          </c:extLst>
        </c:ser>
        <c:ser>
          <c:idx val="8"/>
          <c:order val="8"/>
          <c:tx>
            <c:strRef>
              <c:f>'UK scallop dredge under 15m'!$H$171</c:f>
              <c:strCache>
                <c:ptCount val="1"/>
                <c:pt idx="0">
                  <c:v>Mussels</c:v>
                </c:pt>
              </c:strCache>
            </c:strRef>
          </c:tx>
          <c:spPr>
            <a:solidFill>
              <a:srgbClr val="FED825"/>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15m'!$I$171:$K$171</c:f>
              <c:numCache>
                <c:formatCode>0%</c:formatCode>
                <c:ptCount val="3"/>
                <c:pt idx="0">
                  <c:v>3.895002727431187E-2</c:v>
                </c:pt>
                <c:pt idx="1">
                  <c:v>0</c:v>
                </c:pt>
                <c:pt idx="2">
                  <c:v>0</c:v>
                </c:pt>
              </c:numCache>
            </c:numRef>
          </c:val>
          <c:extLst>
            <c:ext xmlns:c16="http://schemas.microsoft.com/office/drawing/2014/chart" uri="{C3380CC4-5D6E-409C-BE32-E72D297353CC}">
              <c16:uniqueId val="{00000008-D088-4BC6-B97D-9F986EAA1C14}"/>
            </c:ext>
          </c:extLst>
        </c:ser>
        <c:ser>
          <c:idx val="9"/>
          <c:order val="9"/>
          <c:tx>
            <c:strRef>
              <c:f>'UK scallop dredge under 15m'!$H$172</c:f>
              <c:strCache>
                <c:ptCount val="1"/>
                <c:pt idx="0">
                  <c:v>Others</c:v>
                </c:pt>
              </c:strCache>
            </c:strRef>
          </c:tx>
          <c:spPr>
            <a:solidFill>
              <a:srgbClr val="55585A"/>
            </a:solidFill>
            <a:ln>
              <a:solidFill>
                <a:srgbClr val="FFFFFF"/>
              </a:solidFill>
            </a:ln>
          </c:spPr>
          <c:invertIfNegative val="0"/>
          <c:cat>
            <c:strRef>
              <c:f>'UK scallop dredge under 15m'!$I$162:$K$162</c:f>
              <c:strCache>
                <c:ptCount val="3"/>
                <c:pt idx="0">
                  <c:v>Most
profitable
quartile</c:v>
                </c:pt>
                <c:pt idx="1">
                  <c:v>Middle 
two quartiles</c:v>
                </c:pt>
                <c:pt idx="2">
                  <c:v>Least
profitable
quartile</c:v>
                </c:pt>
              </c:strCache>
            </c:strRef>
          </c:cat>
          <c:val>
            <c:numRef>
              <c:f>'UK scallop dredge under 15m'!$I$172:$K$172</c:f>
              <c:numCache>
                <c:formatCode>0%</c:formatCode>
                <c:ptCount val="3"/>
                <c:pt idx="0">
                  <c:v>3.052953152834792E-2</c:v>
                </c:pt>
                <c:pt idx="1">
                  <c:v>5.0559977957435498E-2</c:v>
                </c:pt>
                <c:pt idx="2">
                  <c:v>0.11267768558121272</c:v>
                </c:pt>
              </c:numCache>
            </c:numRef>
          </c:val>
          <c:extLst>
            <c:ext xmlns:c16="http://schemas.microsoft.com/office/drawing/2014/chart" uri="{C3380CC4-5D6E-409C-BE32-E72D297353CC}">
              <c16:uniqueId val="{00000009-D088-4BC6-B97D-9F986EAA1C1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under 15m'!$K$140</c:f>
              <c:strCache>
                <c:ptCount val="1"/>
                <c:pt idx="0">
                  <c:v>Total income</c:v>
                </c:pt>
              </c:strCache>
            </c:strRef>
          </c:tx>
          <c:spPr>
            <a:solidFill>
              <a:srgbClr val="087CBB"/>
            </a:solidFill>
            <a:ln>
              <a:solidFill>
                <a:schemeClr val="accent1"/>
              </a:solidFill>
            </a:ln>
          </c:spPr>
          <c:invertIfNegative val="0"/>
          <c:cat>
            <c:strRef>
              <c:f>'UK scallop dredge under 15m'!$L$139:$N$139</c:f>
              <c:strCache>
                <c:ptCount val="3"/>
                <c:pt idx="0">
                  <c:v>Most
profitable
quartile</c:v>
                </c:pt>
                <c:pt idx="1">
                  <c:v>Middle
two quartiles</c:v>
                </c:pt>
                <c:pt idx="2">
                  <c:v>Least
profitable
quartile</c:v>
                </c:pt>
              </c:strCache>
            </c:strRef>
          </c:cat>
          <c:val>
            <c:numRef>
              <c:f>'UK scallop dredge under 15m'!$L$140:$N$140</c:f>
              <c:numCache>
                <c:formatCode>#,##0</c:formatCode>
                <c:ptCount val="3"/>
                <c:pt idx="0">
                  <c:v>370.58825000000002</c:v>
                </c:pt>
                <c:pt idx="1">
                  <c:v>143.58993749999999</c:v>
                </c:pt>
                <c:pt idx="2">
                  <c:v>61.526304687500001</c:v>
                </c:pt>
              </c:numCache>
            </c:numRef>
          </c:val>
          <c:extLst>
            <c:ext xmlns:c16="http://schemas.microsoft.com/office/drawing/2014/chart" uri="{C3380CC4-5D6E-409C-BE32-E72D297353CC}">
              <c16:uniqueId val="{00000000-7363-4CF2-A2FC-A1BD63F27BF0}"/>
            </c:ext>
          </c:extLst>
        </c:ser>
        <c:ser>
          <c:idx val="1"/>
          <c:order val="1"/>
          <c:tx>
            <c:strRef>
              <c:f>'UK scallop dredge under 15m'!$K$141</c:f>
              <c:strCache>
                <c:ptCount val="1"/>
                <c:pt idx="0">
                  <c:v>Operating costs</c:v>
                </c:pt>
              </c:strCache>
            </c:strRef>
          </c:tx>
          <c:spPr>
            <a:solidFill>
              <a:srgbClr val="E87308"/>
            </a:solidFill>
          </c:spPr>
          <c:invertIfNegative val="0"/>
          <c:cat>
            <c:strRef>
              <c:f>'UK scallop dredge under 15m'!$L$139:$N$139</c:f>
              <c:strCache>
                <c:ptCount val="3"/>
                <c:pt idx="0">
                  <c:v>Most
profitable
quartile</c:v>
                </c:pt>
                <c:pt idx="1">
                  <c:v>Middle
two quartiles</c:v>
                </c:pt>
                <c:pt idx="2">
                  <c:v>Least
profitable
quartile</c:v>
                </c:pt>
              </c:strCache>
            </c:strRef>
          </c:cat>
          <c:val>
            <c:numRef>
              <c:f>'UK scallop dredge under 15m'!$L$141:$N$141</c:f>
              <c:numCache>
                <c:formatCode>#,##0</c:formatCode>
                <c:ptCount val="3"/>
                <c:pt idx="0">
                  <c:v>298.52268750000002</c:v>
                </c:pt>
                <c:pt idx="1">
                  <c:v>135.17778515625</c:v>
                </c:pt>
                <c:pt idx="2">
                  <c:v>68.543156249999996</c:v>
                </c:pt>
              </c:numCache>
            </c:numRef>
          </c:val>
          <c:extLst>
            <c:ext xmlns:c16="http://schemas.microsoft.com/office/drawing/2014/chart" uri="{C3380CC4-5D6E-409C-BE32-E72D297353CC}">
              <c16:uniqueId val="{00000001-7363-4CF2-A2FC-A1BD63F27BF0}"/>
            </c:ext>
          </c:extLst>
        </c:ser>
        <c:ser>
          <c:idx val="2"/>
          <c:order val="2"/>
          <c:tx>
            <c:strRef>
              <c:f>'UK scallop dredge under 15m'!$K$142</c:f>
              <c:strCache>
                <c:ptCount val="1"/>
                <c:pt idx="0">
                  <c:v>Operating profit</c:v>
                </c:pt>
              </c:strCache>
            </c:strRef>
          </c:tx>
          <c:spPr>
            <a:solidFill>
              <a:srgbClr val="51AA81"/>
            </a:solidFill>
          </c:spPr>
          <c:invertIfNegative val="0"/>
          <c:cat>
            <c:strRef>
              <c:f>'UK scallop dredge under 15m'!$L$139:$N$139</c:f>
              <c:strCache>
                <c:ptCount val="3"/>
                <c:pt idx="0">
                  <c:v>Most
profitable
quartile</c:v>
                </c:pt>
                <c:pt idx="1">
                  <c:v>Middle
two quartiles</c:v>
                </c:pt>
                <c:pt idx="2">
                  <c:v>Least
profitable
quartile</c:v>
                </c:pt>
              </c:strCache>
            </c:strRef>
          </c:cat>
          <c:val>
            <c:numRef>
              <c:f>'UK scallop dredge under 15m'!$L$142:$N$142</c:f>
              <c:numCache>
                <c:formatCode>#,##0</c:formatCode>
                <c:ptCount val="3"/>
                <c:pt idx="0">
                  <c:v>72.065562499999999</c:v>
                </c:pt>
                <c:pt idx="1">
                  <c:v>8.4121523437499999</c:v>
                </c:pt>
                <c:pt idx="2">
                  <c:v>-7.0168515625000003</c:v>
                </c:pt>
              </c:numCache>
            </c:numRef>
          </c:val>
          <c:extLst>
            <c:ext xmlns:c16="http://schemas.microsoft.com/office/drawing/2014/chart" uri="{C3380CC4-5D6E-409C-BE32-E72D297353CC}">
              <c16:uniqueId val="{00000002-7363-4CF2-A2FC-A1BD63F27BF0}"/>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'UK scallop dredge under 15m'!$K$143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trawl-seine'!$A$49</c:f>
          <c:strCache>
            <c:ptCount val="1"/>
            <c:pt idx="0">
              <c:v>Landings per kW day at sea (kg)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CC5-4735-B375-81C9BB576CA5}"/>
              </c:ext>
            </c:extLst>
          </c:dPt>
          <c:dPt>
            <c:idx val="10"/>
            <c:bubble3D val="0"/>
            <c:spPr>
              <a:ln w="57150">
                <a:solidFill>
                  <a:srgbClr val="2273B9"/>
                </a:solidFill>
                <a:prstDash val="sysDot"/>
              </a:ln>
            </c:spPr>
            <c:extLst>
              <c:ext xmlns:c16="http://schemas.microsoft.com/office/drawing/2014/chart" uri="{C3380CC4-5D6E-409C-BE32-E72D297353CC}">
                <c16:uniqueId val="{00000003-BCC5-4735-B375-81C9BB576CA5}"/>
              </c:ext>
            </c:extLst>
          </c:dPt>
          <c:cat>
            <c:numRef>
              <c:f>'U10m demersal trawl-seine'!$D$2:$N$2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demersal trawl-seine'!$D$22:$N$22</c:f>
              <c:numCache>
                <c:formatCode>#,##0.00</c:formatCode>
                <c:ptCount val="11"/>
                <c:pt idx="0">
                  <c:v>2.5515763696730422</c:v>
                </c:pt>
                <c:pt idx="1">
                  <c:v>2.6401861793854016</c:v>
                </c:pt>
                <c:pt idx="2">
                  <c:v>2.3070814747113699</c:v>
                </c:pt>
                <c:pt idx="3">
                  <c:v>2.179466537029489</c:v>
                </c:pt>
                <c:pt idx="4">
                  <c:v>2.3622552912263446</c:v>
                </c:pt>
                <c:pt idx="5">
                  <c:v>2.6671738314978746</c:v>
                </c:pt>
                <c:pt idx="6">
                  <c:v>2.5544650159039151</c:v>
                </c:pt>
                <c:pt idx="7">
                  <c:v>2.8404246641952664</c:v>
                </c:pt>
                <c:pt idx="8">
                  <c:v>2.6680938978929962</c:v>
                </c:pt>
                <c:pt idx="9">
                  <c:v>2.9472330363041723</c:v>
                </c:pt>
                <c:pt idx="10">
                  <c:v>2.9566187271922502</c:v>
                </c:pt>
              </c:numCache>
            </c:numRef>
          </c:val>
          <c:smooth val="0"/>
          <c:extLst>
            <c:ext xmlns:c16="http://schemas.microsoft.com/office/drawing/2014/chart" uri="{C3380CC4-5D6E-409C-BE32-E72D297353CC}">
              <c16:uniqueId val="{00000004-BCC5-4735-B375-81C9BB576CA5}"/>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u250kW'!$A$51</c:f>
          <c:strCache>
            <c:ptCount val="1"/>
            <c:pt idx="0">
              <c:v>Average price per tonne landed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BDD0-4B3E-8E42-442D143A9A54}"/>
              </c:ext>
            </c:extLst>
          </c:dPt>
          <c:dPt>
            <c:idx val="10"/>
            <c:bubble3D val="0"/>
            <c:spPr>
              <a:ln w="57150">
                <a:solidFill>
                  <a:schemeClr val="accent4"/>
                </a:solidFill>
                <a:prstDash val="sysDot"/>
              </a:ln>
            </c:spPr>
            <c:extLst>
              <c:ext xmlns:c16="http://schemas.microsoft.com/office/drawing/2014/chart" uri="{C3380CC4-5D6E-409C-BE32-E72D297353CC}">
                <c16:uniqueId val="{00000003-BDD0-4B3E-8E42-442D143A9A54}"/>
              </c:ext>
            </c:extLst>
          </c:dPt>
          <c:cat>
            <c:numRef>
              <c:f>'Area VIIa nephrops u250kW'!$D$2:$M$2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u250kW'!$D$21:$N$21</c:f>
              <c:numCache>
                <c:formatCode>#,##0</c:formatCode>
                <c:ptCount val="11"/>
                <c:pt idx="0">
                  <c:v>2545</c:v>
                </c:pt>
                <c:pt idx="1">
                  <c:v>2166</c:v>
                </c:pt>
                <c:pt idx="2">
                  <c:v>2444</c:v>
                </c:pt>
                <c:pt idx="3">
                  <c:v>2260</c:v>
                </c:pt>
                <c:pt idx="4">
                  <c:v>2438</c:v>
                </c:pt>
                <c:pt idx="5">
                  <c:v>2397</c:v>
                </c:pt>
                <c:pt idx="6">
                  <c:v>2487</c:v>
                </c:pt>
                <c:pt idx="7">
                  <c:v>2492</c:v>
                </c:pt>
                <c:pt idx="8">
                  <c:v>1847</c:v>
                </c:pt>
                <c:pt idx="9">
                  <c:v>1895</c:v>
                </c:pt>
                <c:pt idx="10">
                  <c:v>2515</c:v>
                </c:pt>
              </c:numCache>
            </c:numRef>
          </c:val>
          <c:smooth val="0"/>
          <c:extLst>
            <c:ext xmlns:c16="http://schemas.microsoft.com/office/drawing/2014/chart" uri="{C3380CC4-5D6E-409C-BE32-E72D297353CC}">
              <c16:uniqueId val="{00000004-BDD0-4B3E-8E42-442D143A9A54}"/>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trawl-seine'!$A$50</c:f>
          <c:strCache>
            <c:ptCount val="1"/>
            <c:pt idx="0">
              <c:v>Fishing income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69F-4FD6-BC17-8E85D6787ABE}"/>
              </c:ext>
            </c:extLst>
          </c:dPt>
          <c:dPt>
            <c:idx val="10"/>
            <c:bubble3D val="0"/>
            <c:spPr>
              <a:ln w="57150">
                <a:solidFill>
                  <a:srgbClr val="648C2E"/>
                </a:solidFill>
                <a:prstDash val="sysDot"/>
              </a:ln>
            </c:spPr>
            <c:extLst>
              <c:ext xmlns:c16="http://schemas.microsoft.com/office/drawing/2014/chart" uri="{C3380CC4-5D6E-409C-BE32-E72D297353CC}">
                <c16:uniqueId val="{00000003-269F-4FD6-BC17-8E85D6787ABE}"/>
              </c:ext>
            </c:extLst>
          </c:dPt>
          <c:cat>
            <c:numRef>
              <c:f>'U10m demersal trawl-seine'!$D$2:$N$2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demersal trawl-seine'!$D$23:$N$23</c:f>
              <c:numCache>
                <c:formatCode>#,##0.00</c:formatCode>
                <c:ptCount val="11"/>
                <c:pt idx="0">
                  <c:v>7.3755784154769</c:v>
                </c:pt>
                <c:pt idx="1">
                  <c:v>6.8082018741378798</c:v>
                </c:pt>
                <c:pt idx="2">
                  <c:v>6.6182175461286397</c:v>
                </c:pt>
                <c:pt idx="3">
                  <c:v>5.9122096422331296</c:v>
                </c:pt>
                <c:pt idx="4">
                  <c:v>6.8883086498300798</c:v>
                </c:pt>
                <c:pt idx="5">
                  <c:v>8.2768420788070607</c:v>
                </c:pt>
                <c:pt idx="6">
                  <c:v>7.8238660609510902</c:v>
                </c:pt>
                <c:pt idx="7">
                  <c:v>8.2520818059803798</c:v>
                </c:pt>
                <c:pt idx="8">
                  <c:v>6.4021434607322902</c:v>
                </c:pt>
                <c:pt idx="9">
                  <c:v>7.5283346220230802</c:v>
                </c:pt>
                <c:pt idx="10">
                  <c:v>9.4467902211098789</c:v>
                </c:pt>
              </c:numCache>
            </c:numRef>
          </c:val>
          <c:smooth val="0"/>
          <c:extLst>
            <c:ext xmlns:c16="http://schemas.microsoft.com/office/drawing/2014/chart" uri="{C3380CC4-5D6E-409C-BE32-E72D297353CC}">
              <c16:uniqueId val="{00000004-269F-4FD6-BC17-8E85D6787AB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trawl-seine'!$B$63</c:f>
          <c:strCache>
            <c:ptCount val="1"/>
            <c:pt idx="0">
              <c:v>Total cost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EAD-4107-BCD3-59AF4FF9C727}"/>
              </c:ext>
            </c:extLst>
          </c:dPt>
          <c:dPt>
            <c:idx val="10"/>
            <c:bubble3D val="0"/>
            <c:spPr>
              <a:ln w="57150">
                <a:solidFill>
                  <a:srgbClr val="087CBB"/>
                </a:solidFill>
                <a:prstDash val="sysDot"/>
              </a:ln>
            </c:spPr>
            <c:extLst>
              <c:ext xmlns:c16="http://schemas.microsoft.com/office/drawing/2014/chart" uri="{C3380CC4-5D6E-409C-BE32-E72D297353CC}">
                <c16:uniqueId val="{00000003-BEAD-4107-BCD3-59AF4FF9C727}"/>
              </c:ext>
            </c:extLst>
          </c:dPt>
          <c:cat>
            <c:numRef>
              <c:f>'U10m demersal trawl-seine'!$D$2:$N$2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demersal trawl-seine'!$D$24:$N$24</c:f>
              <c:numCache>
                <c:formatCode>#,##0.00</c:formatCode>
                <c:ptCount val="11"/>
                <c:pt idx="0">
                  <c:v>6.2354869423158101</c:v>
                </c:pt>
                <c:pt idx="1">
                  <c:v>5.65548902220283</c:v>
                </c:pt>
                <c:pt idx="2">
                  <c:v>5.64743474591178</c:v>
                </c:pt>
                <c:pt idx="3">
                  <c:v>4.8275416379218203</c:v>
                </c:pt>
                <c:pt idx="4">
                  <c:v>5.0010592599047401</c:v>
                </c:pt>
                <c:pt idx="5">
                  <c:v>5.8883887576979799</c:v>
                </c:pt>
                <c:pt idx="6">
                  <c:v>6.4109983765980303</c:v>
                </c:pt>
                <c:pt idx="7">
                  <c:v>6.5251495285063603</c:v>
                </c:pt>
                <c:pt idx="8">
                  <c:v>5.0428654396584802</c:v>
                </c:pt>
                <c:pt idx="9">
                  <c:v>6.5987608626008596</c:v>
                </c:pt>
                <c:pt idx="10">
                  <c:v>8.5094252552135803</c:v>
                </c:pt>
              </c:numCache>
            </c:numRef>
          </c:val>
          <c:smooth val="0"/>
          <c:extLst>
            <c:ext xmlns:c16="http://schemas.microsoft.com/office/drawing/2014/chart" uri="{C3380CC4-5D6E-409C-BE32-E72D297353CC}">
              <c16:uniqueId val="{00000004-BEAD-4107-BCD3-59AF4FF9C727}"/>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trawl-seine'!$K$49</c:f>
          <c:strCache>
            <c:ptCount val="1"/>
            <c:pt idx="0">
              <c:v>Operating profit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3DE3-4889-8E1F-E2CC4B7B8042}"/>
              </c:ext>
            </c:extLst>
          </c:dPt>
          <c:dPt>
            <c:idx val="10"/>
            <c:bubble3D val="0"/>
            <c:spPr>
              <a:ln w="57150">
                <a:solidFill>
                  <a:schemeClr val="accent3"/>
                </a:solidFill>
                <a:prstDash val="sysDot"/>
              </a:ln>
            </c:spPr>
            <c:extLst>
              <c:ext xmlns:c16="http://schemas.microsoft.com/office/drawing/2014/chart" uri="{C3380CC4-5D6E-409C-BE32-E72D297353CC}">
                <c16:uniqueId val="{00000003-3DE3-4889-8E1F-E2CC4B7B8042}"/>
              </c:ext>
            </c:extLst>
          </c:dPt>
          <c:cat>
            <c:numRef>
              <c:f>'U10m demersal trawl-seine'!$D$2:$N$2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demersal trawl-seine'!$D$25:$N$25</c:f>
              <c:numCache>
                <c:formatCode>#,##0.00</c:formatCode>
                <c:ptCount val="11"/>
                <c:pt idx="0">
                  <c:v>1.4915774284377299</c:v>
                </c:pt>
                <c:pt idx="1">
                  <c:v>1.6659176072292601</c:v>
                </c:pt>
                <c:pt idx="2">
                  <c:v>1.5117852212199601</c:v>
                </c:pt>
                <c:pt idx="3">
                  <c:v>1.16665433352599</c:v>
                </c:pt>
                <c:pt idx="4">
                  <c:v>2.0739710100639899</c:v>
                </c:pt>
                <c:pt idx="5">
                  <c:v>2.5963695875554502</c:v>
                </c:pt>
                <c:pt idx="6">
                  <c:v>1.56992998476789</c:v>
                </c:pt>
                <c:pt idx="7">
                  <c:v>1.9564785663061499</c:v>
                </c:pt>
                <c:pt idx="8">
                  <c:v>2.2946013904994498</c:v>
                </c:pt>
                <c:pt idx="9">
                  <c:v>1.2242760676079001</c:v>
                </c:pt>
                <c:pt idx="10">
                  <c:v>1.2457574636958419</c:v>
                </c:pt>
              </c:numCache>
            </c:numRef>
          </c:val>
          <c:smooth val="0"/>
          <c:extLst>
            <c:ext xmlns:c16="http://schemas.microsoft.com/office/drawing/2014/chart" uri="{C3380CC4-5D6E-409C-BE32-E72D297353CC}">
              <c16:uniqueId val="{00000004-3DE3-4889-8E1F-E2CC4B7B8042}"/>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trawl-seine'!$A$51</c:f>
          <c:strCache>
            <c:ptCount val="1"/>
            <c:pt idx="0">
              <c:v>Average price per tonne landed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F6A-4CD9-B630-DF96882B9B0B}"/>
              </c:ext>
            </c:extLst>
          </c:dPt>
          <c:dPt>
            <c:idx val="10"/>
            <c:bubble3D val="0"/>
            <c:spPr>
              <a:ln w="57150">
                <a:solidFill>
                  <a:schemeClr val="accent4"/>
                </a:solidFill>
                <a:prstDash val="sysDot"/>
              </a:ln>
            </c:spPr>
            <c:extLst>
              <c:ext xmlns:c16="http://schemas.microsoft.com/office/drawing/2014/chart" uri="{C3380CC4-5D6E-409C-BE32-E72D297353CC}">
                <c16:uniqueId val="{00000003-6F6A-4CD9-B630-DF96882B9B0B}"/>
              </c:ext>
            </c:extLst>
          </c:dPt>
          <c:cat>
            <c:numRef>
              <c:f>'U10m demersal trawl-seine'!$D$2:$M$2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trawl-seine'!$D$21:$N$21</c:f>
              <c:numCache>
                <c:formatCode>#,##0</c:formatCode>
                <c:ptCount val="11"/>
                <c:pt idx="0">
                  <c:v>2891</c:v>
                </c:pt>
                <c:pt idx="1">
                  <c:v>2579</c:v>
                </c:pt>
                <c:pt idx="2">
                  <c:v>2869</c:v>
                </c:pt>
                <c:pt idx="3">
                  <c:v>2713</c:v>
                </c:pt>
                <c:pt idx="4">
                  <c:v>2916</c:v>
                </c:pt>
                <c:pt idx="5">
                  <c:v>3103</c:v>
                </c:pt>
                <c:pt idx="6">
                  <c:v>3063</c:v>
                </c:pt>
                <c:pt idx="7">
                  <c:v>2905</c:v>
                </c:pt>
                <c:pt idx="8">
                  <c:v>2400</c:v>
                </c:pt>
                <c:pt idx="9">
                  <c:v>2554</c:v>
                </c:pt>
                <c:pt idx="10">
                  <c:v>3195</c:v>
                </c:pt>
              </c:numCache>
            </c:numRef>
          </c:val>
          <c:smooth val="0"/>
          <c:extLst>
            <c:ext xmlns:c16="http://schemas.microsoft.com/office/drawing/2014/chart" uri="{C3380CC4-5D6E-409C-BE32-E72D297353CC}">
              <c16:uniqueId val="{00000004-6F6A-4CD9-B630-DF96882B9B0B}"/>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trawl-seine'!$K$63</c:f>
          <c:strCache>
            <c:ptCount val="1"/>
            <c:pt idx="0">
              <c:v>Average annual operating profit per vessel (£'000)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75F-4C49-8699-4B7A88D3B01D}"/>
              </c:ext>
            </c:extLst>
          </c:dPt>
          <c:dPt>
            <c:idx val="10"/>
            <c:bubble3D val="0"/>
            <c:spPr>
              <a:ln w="57150">
                <a:solidFill>
                  <a:schemeClr val="accent5"/>
                </a:solidFill>
                <a:prstDash val="sysDot"/>
              </a:ln>
            </c:spPr>
            <c:extLst>
              <c:ext xmlns:c16="http://schemas.microsoft.com/office/drawing/2014/chart" uri="{C3380CC4-5D6E-409C-BE32-E72D297353CC}">
                <c16:uniqueId val="{00000003-B75F-4C49-8699-4B7A88D3B01D}"/>
              </c:ext>
            </c:extLst>
          </c:dPt>
          <c:cat>
            <c:numRef>
              <c:f>'U10m demersal trawl-seine'!$D$2:$M$2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trawl-seine'!$D$38:$N$38</c:f>
              <c:numCache>
                <c:formatCode>#,##0.0</c:formatCode>
                <c:ptCount val="11"/>
                <c:pt idx="0">
                  <c:v>17</c:v>
                </c:pt>
                <c:pt idx="1">
                  <c:v>18.399999999999999</c:v>
                </c:pt>
                <c:pt idx="2">
                  <c:v>18.2</c:v>
                </c:pt>
                <c:pt idx="3">
                  <c:v>13.6</c:v>
                </c:pt>
                <c:pt idx="4">
                  <c:v>25.5</c:v>
                </c:pt>
                <c:pt idx="5">
                  <c:v>27.8</c:v>
                </c:pt>
                <c:pt idx="6">
                  <c:v>17.2</c:v>
                </c:pt>
                <c:pt idx="7">
                  <c:v>22</c:v>
                </c:pt>
                <c:pt idx="8">
                  <c:v>19.600000000000001</c:v>
                </c:pt>
                <c:pt idx="9">
                  <c:v>10.7</c:v>
                </c:pt>
                <c:pt idx="10">
                  <c:v>11.3</c:v>
                </c:pt>
              </c:numCache>
            </c:numRef>
          </c:val>
          <c:smooth val="0"/>
          <c:extLst>
            <c:ext xmlns:c16="http://schemas.microsoft.com/office/drawing/2014/chart" uri="{C3380CC4-5D6E-409C-BE32-E72D297353CC}">
              <c16:uniqueId val="{00000004-B75F-4C49-8699-4B7A88D3B01D}"/>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trawl-seine'!$A$77</c:f>
          <c:strCache>
            <c:ptCount val="1"/>
            <c:pt idx="0">
              <c:v>Top 5 landed species by volume in 2021
Under 10m demersal trawl/seine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DB3-4179-86D4-B4F1CF5022CD}"/>
              </c:ext>
            </c:extLst>
          </c:dPt>
          <c:dPt>
            <c:idx val="1"/>
            <c:bubble3D val="0"/>
            <c:spPr>
              <a:solidFill>
                <a:srgbClr val="648C2E"/>
              </a:solidFill>
              <a:ln>
                <a:solidFill>
                  <a:srgbClr val="FFFFFF"/>
                </a:solidFill>
              </a:ln>
            </c:spPr>
            <c:extLst>
              <c:ext xmlns:c16="http://schemas.microsoft.com/office/drawing/2014/chart" uri="{C3380CC4-5D6E-409C-BE32-E72D297353CC}">
                <c16:uniqueId val="{00000003-5DB3-4179-86D4-B4F1CF5022CD}"/>
              </c:ext>
            </c:extLst>
          </c:dPt>
          <c:dPt>
            <c:idx val="2"/>
            <c:bubble3D val="0"/>
            <c:spPr>
              <a:solidFill>
                <a:srgbClr val="E84A38"/>
              </a:solidFill>
              <a:ln>
                <a:solidFill>
                  <a:srgbClr val="FFFFFF"/>
                </a:solidFill>
              </a:ln>
            </c:spPr>
            <c:extLst>
              <c:ext xmlns:c16="http://schemas.microsoft.com/office/drawing/2014/chart" uri="{C3380CC4-5D6E-409C-BE32-E72D297353CC}">
                <c16:uniqueId val="{00000005-5DB3-4179-86D4-B4F1CF5022CD}"/>
              </c:ext>
            </c:extLst>
          </c:dPt>
          <c:dPt>
            <c:idx val="3"/>
            <c:bubble3D val="0"/>
            <c:spPr>
              <a:solidFill>
                <a:srgbClr val="E87308"/>
              </a:solidFill>
              <a:ln>
                <a:solidFill>
                  <a:srgbClr val="FFFFFF"/>
                </a:solidFill>
              </a:ln>
            </c:spPr>
            <c:extLst>
              <c:ext xmlns:c16="http://schemas.microsoft.com/office/drawing/2014/chart" uri="{C3380CC4-5D6E-409C-BE32-E72D297353CC}">
                <c16:uniqueId val="{00000007-5DB3-4179-86D4-B4F1CF5022CD}"/>
              </c:ext>
            </c:extLst>
          </c:dPt>
          <c:dPt>
            <c:idx val="4"/>
            <c:bubble3D val="0"/>
            <c:spPr>
              <a:solidFill>
                <a:srgbClr val="0F9AA9"/>
              </a:solidFill>
              <a:ln>
                <a:solidFill>
                  <a:srgbClr val="FFFFFF"/>
                </a:solidFill>
              </a:ln>
            </c:spPr>
            <c:extLst>
              <c:ext xmlns:c16="http://schemas.microsoft.com/office/drawing/2014/chart" uri="{C3380CC4-5D6E-409C-BE32-E72D297353CC}">
                <c16:uniqueId val="{00000009-5DB3-4179-86D4-B4F1CF5022CD}"/>
              </c:ext>
            </c:extLst>
          </c:dPt>
          <c:dPt>
            <c:idx val="5"/>
            <c:bubble3D val="0"/>
            <c:spPr>
              <a:solidFill>
                <a:srgbClr val="55585A"/>
              </a:solidFill>
              <a:ln>
                <a:solidFill>
                  <a:srgbClr val="FFFFFF"/>
                </a:solidFill>
              </a:ln>
            </c:spPr>
            <c:extLst>
              <c:ext xmlns:c16="http://schemas.microsoft.com/office/drawing/2014/chart" uri="{C3380CC4-5D6E-409C-BE32-E72D297353CC}">
                <c16:uniqueId val="{0000000B-5DB3-4179-86D4-B4F1CF5022CD}"/>
              </c:ext>
            </c:extLst>
          </c:dPt>
          <c:cat>
            <c:strRef>
              <c:f>'U10m demersal trawl-seine'!$B$78:$B$83</c:f>
              <c:strCache>
                <c:ptCount val="6"/>
                <c:pt idx="0">
                  <c:v>Nephrops - 40.6%</c:v>
                </c:pt>
                <c:pt idx="1">
                  <c:v>Scallops - 12.6%</c:v>
                </c:pt>
                <c:pt idx="2">
                  <c:v>Plaice - 4.5%</c:v>
                </c:pt>
                <c:pt idx="3">
                  <c:v>Sole - 4.1%</c:v>
                </c:pt>
                <c:pt idx="4">
                  <c:v>Sprats - 4.0%</c:v>
                </c:pt>
                <c:pt idx="5">
                  <c:v>Others - 34.1%</c:v>
                </c:pt>
              </c:strCache>
            </c:strRef>
          </c:cat>
          <c:val>
            <c:numRef>
              <c:f>'U10m demersal trawl-seine'!$C$78:$C$83</c:f>
              <c:numCache>
                <c:formatCode>0.0%</c:formatCode>
                <c:ptCount val="6"/>
                <c:pt idx="0">
                  <c:v>0.4058153190813924</c:v>
                </c:pt>
                <c:pt idx="1">
                  <c:v>0.12643419764515626</c:v>
                </c:pt>
                <c:pt idx="2">
                  <c:v>4.4794579378969704E-2</c:v>
                </c:pt>
                <c:pt idx="3">
                  <c:v>4.1174950952663714E-2</c:v>
                </c:pt>
                <c:pt idx="4">
                  <c:v>4.0442517967351752E-2</c:v>
                </c:pt>
                <c:pt idx="5">
                  <c:v>0.34133843497446614</c:v>
                </c:pt>
              </c:numCache>
            </c:numRef>
          </c:val>
          <c:extLst>
            <c:ext xmlns:c16="http://schemas.microsoft.com/office/drawing/2014/chart" uri="{C3380CC4-5D6E-409C-BE32-E72D297353CC}">
              <c16:uniqueId val="{0000000C-5DB3-4179-86D4-B4F1CF5022C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trawl-seine'!$F$77</c:f>
          <c:strCache>
            <c:ptCount val="1"/>
            <c:pt idx="0">
              <c:v>Top 5 landed species by value in 2021
Under 10m demersal trawl/seine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D36-42F2-89D7-E6F4DCE53463}"/>
              </c:ext>
            </c:extLst>
          </c:dPt>
          <c:dPt>
            <c:idx val="1"/>
            <c:bubble3D val="0"/>
            <c:spPr>
              <a:solidFill>
                <a:srgbClr val="E87308"/>
              </a:solidFill>
              <a:ln>
                <a:solidFill>
                  <a:srgbClr val="FFFFFF"/>
                </a:solidFill>
              </a:ln>
            </c:spPr>
            <c:extLst>
              <c:ext xmlns:c16="http://schemas.microsoft.com/office/drawing/2014/chart" uri="{C3380CC4-5D6E-409C-BE32-E72D297353CC}">
                <c16:uniqueId val="{00000003-ED36-42F2-89D7-E6F4DCE53463}"/>
              </c:ext>
            </c:extLst>
          </c:dPt>
          <c:dPt>
            <c:idx val="2"/>
            <c:bubble3D val="0"/>
            <c:spPr>
              <a:solidFill>
                <a:srgbClr val="648C2E"/>
              </a:solidFill>
              <a:ln>
                <a:solidFill>
                  <a:srgbClr val="FFFFFF"/>
                </a:solidFill>
              </a:ln>
            </c:spPr>
            <c:extLst>
              <c:ext xmlns:c16="http://schemas.microsoft.com/office/drawing/2014/chart" uri="{C3380CC4-5D6E-409C-BE32-E72D297353CC}">
                <c16:uniqueId val="{00000005-ED36-42F2-89D7-E6F4DCE53463}"/>
              </c:ext>
            </c:extLst>
          </c:dPt>
          <c:dPt>
            <c:idx val="3"/>
            <c:bubble3D val="0"/>
            <c:spPr>
              <a:solidFill>
                <a:srgbClr val="C1D119"/>
              </a:solidFill>
              <a:ln>
                <a:solidFill>
                  <a:srgbClr val="FFFFFF"/>
                </a:solidFill>
              </a:ln>
            </c:spPr>
            <c:extLst>
              <c:ext xmlns:c16="http://schemas.microsoft.com/office/drawing/2014/chart" uri="{C3380CC4-5D6E-409C-BE32-E72D297353CC}">
                <c16:uniqueId val="{00000007-ED36-42F2-89D7-E6F4DCE53463}"/>
              </c:ext>
            </c:extLst>
          </c:dPt>
          <c:dPt>
            <c:idx val="4"/>
            <c:bubble3D val="0"/>
            <c:spPr>
              <a:solidFill>
                <a:srgbClr val="E84A38"/>
              </a:solidFill>
              <a:ln>
                <a:solidFill>
                  <a:srgbClr val="FFFFFF"/>
                </a:solidFill>
              </a:ln>
            </c:spPr>
            <c:extLst>
              <c:ext xmlns:c16="http://schemas.microsoft.com/office/drawing/2014/chart" uri="{C3380CC4-5D6E-409C-BE32-E72D297353CC}">
                <c16:uniqueId val="{00000009-ED36-42F2-89D7-E6F4DCE53463}"/>
              </c:ext>
            </c:extLst>
          </c:dPt>
          <c:dPt>
            <c:idx val="5"/>
            <c:bubble3D val="0"/>
            <c:spPr>
              <a:solidFill>
                <a:srgbClr val="55585A"/>
              </a:solidFill>
              <a:ln>
                <a:solidFill>
                  <a:srgbClr val="FFFFFF"/>
                </a:solidFill>
              </a:ln>
            </c:spPr>
            <c:extLst>
              <c:ext xmlns:c16="http://schemas.microsoft.com/office/drawing/2014/chart" uri="{C3380CC4-5D6E-409C-BE32-E72D297353CC}">
                <c16:uniqueId val="{0000000B-ED36-42F2-89D7-E6F4DCE53463}"/>
              </c:ext>
            </c:extLst>
          </c:dPt>
          <c:cat>
            <c:strRef>
              <c:f>'U10m demersal trawl-seine'!$G$78:$G$83</c:f>
              <c:strCache>
                <c:ptCount val="6"/>
                <c:pt idx="0">
                  <c:v>Nephrops - 40.8%</c:v>
                </c:pt>
                <c:pt idx="1">
                  <c:v>Sole - 17.5%</c:v>
                </c:pt>
                <c:pt idx="2">
                  <c:v>Scallops - 5.3%</c:v>
                </c:pt>
                <c:pt idx="3">
                  <c:v>Squid - 4.2%</c:v>
                </c:pt>
                <c:pt idx="4">
                  <c:v>Plaice - 3.9%</c:v>
                </c:pt>
                <c:pt idx="5">
                  <c:v>Others - 28.3%</c:v>
                </c:pt>
              </c:strCache>
            </c:strRef>
          </c:cat>
          <c:val>
            <c:numRef>
              <c:f>'U10m demersal trawl-seine'!$H$78:$H$83</c:f>
              <c:numCache>
                <c:formatCode>0.0%</c:formatCode>
                <c:ptCount val="6"/>
                <c:pt idx="0">
                  <c:v>0.40830669192529623</c:v>
                </c:pt>
                <c:pt idx="1">
                  <c:v>0.17532179005070064</c:v>
                </c:pt>
                <c:pt idx="2">
                  <c:v>5.2848671801007344E-2</c:v>
                </c:pt>
                <c:pt idx="3">
                  <c:v>4.1857009987494795E-2</c:v>
                </c:pt>
                <c:pt idx="4">
                  <c:v>3.889549482814926E-2</c:v>
                </c:pt>
                <c:pt idx="5">
                  <c:v>0.28277034140735169</c:v>
                </c:pt>
              </c:numCache>
            </c:numRef>
          </c:val>
          <c:extLst>
            <c:ext xmlns:c16="http://schemas.microsoft.com/office/drawing/2014/chart" uri="{C3380CC4-5D6E-409C-BE32-E72D297353CC}">
              <c16:uniqueId val="{0000000C-ED36-42F2-89D7-E6F4DCE5346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demersal trawl-seine'!$C$93</c:f>
              <c:strCache>
                <c:ptCount val="1"/>
                <c:pt idx="0">
                  <c:v>Nephrops</c:v>
                </c:pt>
              </c:strCache>
            </c:strRef>
          </c:tx>
          <c:spPr>
            <a:solidFill>
              <a:srgbClr val="2273B9"/>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trawl-seine'!$D$93:$M$93</c:f>
              <c:numCache>
                <c:formatCode>0%</c:formatCode>
                <c:ptCount val="10"/>
                <c:pt idx="0">
                  <c:v>0.48030103423782949</c:v>
                </c:pt>
                <c:pt idx="1">
                  <c:v>0.5486506128302141</c:v>
                </c:pt>
                <c:pt idx="2">
                  <c:v>0.4757522666569558</c:v>
                </c:pt>
                <c:pt idx="3">
                  <c:v>0.50689197696367183</c:v>
                </c:pt>
                <c:pt idx="4">
                  <c:v>0.46227691870025261</c:v>
                </c:pt>
                <c:pt idx="5">
                  <c:v>0.49966774396386832</c:v>
                </c:pt>
                <c:pt idx="6">
                  <c:v>0.47447301304355155</c:v>
                </c:pt>
                <c:pt idx="7">
                  <c:v>0.39602132099475956</c:v>
                </c:pt>
                <c:pt idx="8">
                  <c:v>0.40830669192529623</c:v>
                </c:pt>
                <c:pt idx="9">
                  <c:v>0.43809363388542555</c:v>
                </c:pt>
              </c:numCache>
            </c:numRef>
          </c:val>
          <c:extLst>
            <c:ext xmlns:c16="http://schemas.microsoft.com/office/drawing/2014/chart" uri="{C3380CC4-5D6E-409C-BE32-E72D297353CC}">
              <c16:uniqueId val="{00000000-7B95-4FB7-AA93-3D5C6755C2DA}"/>
            </c:ext>
          </c:extLst>
        </c:ser>
        <c:ser>
          <c:idx val="1"/>
          <c:order val="1"/>
          <c:tx>
            <c:strRef>
              <c:f>'U10m demersal trawl-seine'!$C$94</c:f>
              <c:strCache>
                <c:ptCount val="1"/>
                <c:pt idx="0">
                  <c:v>Sole</c:v>
                </c:pt>
              </c:strCache>
            </c:strRef>
          </c:tx>
          <c:spPr>
            <a:solidFill>
              <a:srgbClr val="E87308"/>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trawl-seine'!$D$94:$M$94</c:f>
              <c:numCache>
                <c:formatCode>0%</c:formatCode>
                <c:ptCount val="10"/>
                <c:pt idx="0">
                  <c:v>0.12547485386848753</c:v>
                </c:pt>
                <c:pt idx="1">
                  <c:v>7.8621005651854023E-2</c:v>
                </c:pt>
                <c:pt idx="2">
                  <c:v>8.6353515762858699E-2</c:v>
                </c:pt>
                <c:pt idx="3">
                  <c:v>7.4938668413518331E-2</c:v>
                </c:pt>
                <c:pt idx="4">
                  <c:v>7.8739227604737616E-2</c:v>
                </c:pt>
                <c:pt idx="5">
                  <c:v>9.4021609751084437E-2</c:v>
                </c:pt>
                <c:pt idx="6">
                  <c:v>0.10187991914593829</c:v>
                </c:pt>
                <c:pt idx="7">
                  <c:v>0.14400309085468085</c:v>
                </c:pt>
                <c:pt idx="8">
                  <c:v>0.17532179005070064</c:v>
                </c:pt>
                <c:pt idx="9">
                  <c:v>0.18878254811123407</c:v>
                </c:pt>
              </c:numCache>
            </c:numRef>
          </c:val>
          <c:extLst>
            <c:ext xmlns:c16="http://schemas.microsoft.com/office/drawing/2014/chart" uri="{C3380CC4-5D6E-409C-BE32-E72D297353CC}">
              <c16:uniqueId val="{00000001-7B95-4FB7-AA93-3D5C6755C2DA}"/>
            </c:ext>
          </c:extLst>
        </c:ser>
        <c:ser>
          <c:idx val="2"/>
          <c:order val="2"/>
          <c:tx>
            <c:strRef>
              <c:f>'U10m demersal trawl-seine'!$C$95</c:f>
              <c:strCache>
                <c:ptCount val="1"/>
                <c:pt idx="0">
                  <c:v>Scallops</c:v>
                </c:pt>
              </c:strCache>
            </c:strRef>
          </c:tx>
          <c:spPr>
            <a:solidFill>
              <a:srgbClr val="648C2E"/>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trawl-seine'!$D$95:$M$95</c:f>
              <c:numCache>
                <c:formatCode>0%</c:formatCode>
                <c:ptCount val="10"/>
                <c:pt idx="0">
                  <c:v>4.8353042078686993E-2</c:v>
                </c:pt>
                <c:pt idx="1">
                  <c:v>4.5163162417323613E-2</c:v>
                </c:pt>
                <c:pt idx="2">
                  <c:v>5.7111106540407346E-2</c:v>
                </c:pt>
                <c:pt idx="3">
                  <c:v>4.5494895334366521E-2</c:v>
                </c:pt>
                <c:pt idx="4">
                  <c:v>4.6831498960368909E-2</c:v>
                </c:pt>
                <c:pt idx="5">
                  <c:v>4.659161418200522E-2</c:v>
                </c:pt>
                <c:pt idx="7">
                  <c:v>6.1087330954762903E-2</c:v>
                </c:pt>
                <c:pt idx="8">
                  <c:v>5.2848671801007344E-2</c:v>
                </c:pt>
                <c:pt idx="9">
                  <c:v>4.8685785187403352E-2</c:v>
                </c:pt>
              </c:numCache>
            </c:numRef>
          </c:val>
          <c:extLst>
            <c:ext xmlns:c16="http://schemas.microsoft.com/office/drawing/2014/chart" uri="{C3380CC4-5D6E-409C-BE32-E72D297353CC}">
              <c16:uniqueId val="{00000002-7B95-4FB7-AA93-3D5C6755C2DA}"/>
            </c:ext>
          </c:extLst>
        </c:ser>
        <c:ser>
          <c:idx val="3"/>
          <c:order val="3"/>
          <c:tx>
            <c:strRef>
              <c:f>'U10m demersal trawl-seine'!$C$96</c:f>
              <c:strCache>
                <c:ptCount val="1"/>
                <c:pt idx="0">
                  <c:v>Squid</c:v>
                </c:pt>
              </c:strCache>
            </c:strRef>
          </c:tx>
          <c:spPr>
            <a:solidFill>
              <a:srgbClr val="C1D119"/>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trawl-seine'!$D$96:$M$96</c:f>
              <c:numCache>
                <c:formatCode>0%</c:formatCode>
                <c:ptCount val="10"/>
                <c:pt idx="0">
                  <c:v>4.2810390224912724E-2</c:v>
                </c:pt>
                <c:pt idx="1">
                  <c:v>5.148440264264894E-2</c:v>
                </c:pt>
                <c:pt idx="3">
                  <c:v>5.1100943150440392E-2</c:v>
                </c:pt>
                <c:pt idx="4">
                  <c:v>7.3056398125089364E-2</c:v>
                </c:pt>
                <c:pt idx="5">
                  <c:v>7.9636557777047465E-2</c:v>
                </c:pt>
                <c:pt idx="6">
                  <c:v>7.3451394282619861E-2</c:v>
                </c:pt>
                <c:pt idx="7">
                  <c:v>6.61103882330389E-2</c:v>
                </c:pt>
                <c:pt idx="8">
                  <c:v>4.1857009987494795E-2</c:v>
                </c:pt>
                <c:pt idx="9">
                  <c:v>5.5394687967560911E-2</c:v>
                </c:pt>
              </c:numCache>
            </c:numRef>
          </c:val>
          <c:extLst>
            <c:ext xmlns:c16="http://schemas.microsoft.com/office/drawing/2014/chart" uri="{C3380CC4-5D6E-409C-BE32-E72D297353CC}">
              <c16:uniqueId val="{00000003-7B95-4FB7-AA93-3D5C6755C2DA}"/>
            </c:ext>
          </c:extLst>
        </c:ser>
        <c:ser>
          <c:idx val="4"/>
          <c:order val="4"/>
          <c:tx>
            <c:strRef>
              <c:f>'U10m demersal trawl-seine'!$C$97</c:f>
              <c:strCache>
                <c:ptCount val="1"/>
                <c:pt idx="0">
                  <c:v>Plaice</c:v>
                </c:pt>
              </c:strCache>
            </c:strRef>
          </c:tx>
          <c:spPr>
            <a:solidFill>
              <a:srgbClr val="E84A38"/>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trawl-seine'!$D$97:$M$97</c:f>
              <c:numCache>
                <c:formatCode>0%</c:formatCode>
                <c:ptCount val="10"/>
                <c:pt idx="5">
                  <c:v>7.0211297906862605E-2</c:v>
                </c:pt>
                <c:pt idx="6">
                  <c:v>4.7485408262302464E-2</c:v>
                </c:pt>
                <c:pt idx="7">
                  <c:v>3.9990254674999996E-2</c:v>
                </c:pt>
                <c:pt idx="8">
                  <c:v>3.889549482814926E-2</c:v>
                </c:pt>
              </c:numCache>
            </c:numRef>
          </c:val>
          <c:extLst>
            <c:ext xmlns:c16="http://schemas.microsoft.com/office/drawing/2014/chart" uri="{C3380CC4-5D6E-409C-BE32-E72D297353CC}">
              <c16:uniqueId val="{00000004-7B95-4FB7-AA93-3D5C6755C2DA}"/>
            </c:ext>
          </c:extLst>
        </c:ser>
        <c:ser>
          <c:idx val="5"/>
          <c:order val="5"/>
          <c:tx>
            <c:strRef>
              <c:f>'U10m demersal trawl-seine'!$C$98</c:f>
              <c:strCache>
                <c:ptCount val="1"/>
                <c:pt idx="0">
                  <c:v>Cuttlefish</c:v>
                </c:pt>
              </c:strCache>
            </c:strRef>
          </c:tx>
          <c:spPr>
            <a:solidFill>
              <a:srgbClr val="0F9AA9"/>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trawl-seine'!$D$98:$M$98</c:f>
              <c:numCache>
                <c:formatCode>0%</c:formatCode>
                <c:ptCount val="10"/>
                <c:pt idx="2">
                  <c:v>4.2445331947735726E-2</c:v>
                </c:pt>
                <c:pt idx="4">
                  <c:v>0.10297424976764692</c:v>
                </c:pt>
                <c:pt idx="6">
                  <c:v>5.2031658858822882E-2</c:v>
                </c:pt>
                <c:pt idx="9">
                  <c:v>3.7982610270313265E-2</c:v>
                </c:pt>
              </c:numCache>
            </c:numRef>
          </c:val>
          <c:extLst>
            <c:ext xmlns:c16="http://schemas.microsoft.com/office/drawing/2014/chart" uri="{C3380CC4-5D6E-409C-BE32-E72D297353CC}">
              <c16:uniqueId val="{00000005-7B95-4FB7-AA93-3D5C6755C2DA}"/>
            </c:ext>
          </c:extLst>
        </c:ser>
        <c:ser>
          <c:idx val="6"/>
          <c:order val="6"/>
          <c:tx>
            <c:strRef>
              <c:f>'U10m demersal trawl-seine'!$C$99</c:f>
              <c:strCache>
                <c:ptCount val="1"/>
                <c:pt idx="0">
                  <c:v>Lemon Sole</c:v>
                </c:pt>
              </c:strCache>
            </c:strRef>
          </c:tx>
          <c:spPr>
            <a:solidFill>
              <a:srgbClr val="FED825"/>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trawl-seine'!$D$99:$M$99</c:f>
              <c:numCache>
                <c:formatCode>0%</c:formatCode>
                <c:ptCount val="10"/>
                <c:pt idx="0">
                  <c:v>5.3553319840432288E-2</c:v>
                </c:pt>
                <c:pt idx="1">
                  <c:v>4.9089211866834154E-2</c:v>
                </c:pt>
                <c:pt idx="2">
                  <c:v>5.3638306423876875E-2</c:v>
                </c:pt>
                <c:pt idx="3">
                  <c:v>4.9050160292116396E-2</c:v>
                </c:pt>
              </c:numCache>
            </c:numRef>
          </c:val>
          <c:extLst>
            <c:ext xmlns:c16="http://schemas.microsoft.com/office/drawing/2014/chart" uri="{C3380CC4-5D6E-409C-BE32-E72D297353CC}">
              <c16:uniqueId val="{00000006-7B95-4FB7-AA93-3D5C6755C2DA}"/>
            </c:ext>
          </c:extLst>
        </c:ser>
        <c:ser>
          <c:idx val="7"/>
          <c:order val="7"/>
          <c:tx>
            <c:strRef>
              <c:f>'U10m demersal trawl-seine'!$C$100</c:f>
              <c:strCache>
                <c:ptCount val="1"/>
                <c:pt idx="0">
                  <c:v>Others</c:v>
                </c:pt>
              </c:strCache>
            </c:strRef>
          </c:tx>
          <c:spPr>
            <a:solidFill>
              <a:srgbClr val="55585A"/>
            </a:solidFill>
            <a:ln>
              <a:solidFill>
                <a:srgbClr val="FFFFFF"/>
              </a:solidFill>
            </a:ln>
          </c:spPr>
          <c:invertIfNegative val="0"/>
          <c:cat>
            <c:numRef>
              <c:f>'U10m demersal trawl-seine'!$D$92:$M$92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demersal trawl-seine'!$D$100:$M$100</c:f>
              <c:numCache>
                <c:formatCode>0%</c:formatCode>
                <c:ptCount val="10"/>
                <c:pt idx="0">
                  <c:v>0.24950735974965099</c:v>
                </c:pt>
                <c:pt idx="1">
                  <c:v>0.22699160459112513</c:v>
                </c:pt>
                <c:pt idx="2">
                  <c:v>0.28469947266816553</c:v>
                </c:pt>
                <c:pt idx="3">
                  <c:v>0.27252335584588655</c:v>
                </c:pt>
                <c:pt idx="4">
                  <c:v>0.23612170684190459</c:v>
                </c:pt>
                <c:pt idx="5">
                  <c:v>0.209871176419132</c:v>
                </c:pt>
                <c:pt idx="6">
                  <c:v>0.25067860640676498</c:v>
                </c:pt>
                <c:pt idx="7">
                  <c:v>0.29278761428775779</c:v>
                </c:pt>
                <c:pt idx="8">
                  <c:v>0.28277034140735169</c:v>
                </c:pt>
                <c:pt idx="9">
                  <c:v>0.23106073457806289</c:v>
                </c:pt>
              </c:numCache>
            </c:numRef>
          </c:val>
          <c:extLst>
            <c:ext xmlns:c16="http://schemas.microsoft.com/office/drawing/2014/chart" uri="{C3380CC4-5D6E-409C-BE32-E72D297353CC}">
              <c16:uniqueId val="{00000007-7B95-4FB7-AA93-3D5C6755C2D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demersal trawl-seine'!$B$163</c:f>
              <c:strCache>
                <c:ptCount val="1"/>
                <c:pt idx="0">
                  <c:v>Nephrops</c:v>
                </c:pt>
              </c:strCache>
            </c:strRef>
          </c:tx>
          <c:spPr>
            <a:solidFill>
              <a:srgbClr val="2273B9"/>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trawl-seine'!$C$163:$E$163</c:f>
              <c:numCache>
                <c:formatCode>0%</c:formatCode>
                <c:ptCount val="3"/>
                <c:pt idx="0">
                  <c:v>0.19740030623232752</c:v>
                </c:pt>
                <c:pt idx="1">
                  <c:v>0.67520424685965719</c:v>
                </c:pt>
                <c:pt idx="2">
                  <c:v>0.5502512618631471</c:v>
                </c:pt>
              </c:numCache>
            </c:numRef>
          </c:val>
          <c:extLst>
            <c:ext xmlns:c16="http://schemas.microsoft.com/office/drawing/2014/chart" uri="{C3380CC4-5D6E-409C-BE32-E72D297353CC}">
              <c16:uniqueId val="{00000000-320D-472F-8B04-79B99C36A501}"/>
            </c:ext>
          </c:extLst>
        </c:ser>
        <c:ser>
          <c:idx val="1"/>
          <c:order val="1"/>
          <c:tx>
            <c:strRef>
              <c:f>'U10m demersal trawl-seine'!$B$164</c:f>
              <c:strCache>
                <c:ptCount val="1"/>
                <c:pt idx="0">
                  <c:v>Scallops</c:v>
                </c:pt>
              </c:strCache>
            </c:strRef>
          </c:tx>
          <c:spPr>
            <a:solidFill>
              <a:srgbClr val="648C2E"/>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trawl-seine'!$C$164:$E$164</c:f>
              <c:numCache>
                <c:formatCode>0%</c:formatCode>
                <c:ptCount val="3"/>
                <c:pt idx="0">
                  <c:v>0.20374629661545723</c:v>
                </c:pt>
                <c:pt idx="1">
                  <c:v>8.3720114190721978E-2</c:v>
                </c:pt>
                <c:pt idx="2">
                  <c:v>4.1000812656201507E-2</c:v>
                </c:pt>
              </c:numCache>
            </c:numRef>
          </c:val>
          <c:extLst>
            <c:ext xmlns:c16="http://schemas.microsoft.com/office/drawing/2014/chart" uri="{C3380CC4-5D6E-409C-BE32-E72D297353CC}">
              <c16:uniqueId val="{00000001-320D-472F-8B04-79B99C36A501}"/>
            </c:ext>
          </c:extLst>
        </c:ser>
        <c:ser>
          <c:idx val="2"/>
          <c:order val="2"/>
          <c:tx>
            <c:strRef>
              <c:f>'U10m demersal trawl-seine'!$B$165</c:f>
              <c:strCache>
                <c:ptCount val="1"/>
                <c:pt idx="0">
                  <c:v>Thornback Ray</c:v>
                </c:pt>
              </c:strCache>
            </c:strRef>
          </c:tx>
          <c:spPr>
            <a:solidFill>
              <a:srgbClr val="FED825"/>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trawl-seine'!$C$165:$E$165</c:f>
              <c:numCache>
                <c:formatCode>0%</c:formatCode>
                <c:ptCount val="3"/>
                <c:pt idx="0">
                  <c:v>0</c:v>
                </c:pt>
                <c:pt idx="1">
                  <c:v>4.6545134669917082E-2</c:v>
                </c:pt>
                <c:pt idx="2">
                  <c:v>0</c:v>
                </c:pt>
              </c:numCache>
            </c:numRef>
          </c:val>
          <c:extLst>
            <c:ext xmlns:c16="http://schemas.microsoft.com/office/drawing/2014/chart" uri="{C3380CC4-5D6E-409C-BE32-E72D297353CC}">
              <c16:uniqueId val="{00000002-320D-472F-8B04-79B99C36A501}"/>
            </c:ext>
          </c:extLst>
        </c:ser>
        <c:ser>
          <c:idx val="3"/>
          <c:order val="3"/>
          <c:tx>
            <c:strRef>
              <c:f>'U10m demersal trawl-seine'!$B$166</c:f>
              <c:strCache>
                <c:ptCount val="1"/>
                <c:pt idx="0">
                  <c:v>Blonde Ray</c:v>
                </c:pt>
              </c:strCache>
            </c:strRef>
          </c:tx>
          <c:spPr>
            <a:solidFill>
              <a:srgbClr val="707271"/>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trawl-seine'!$C$166:$E$166</c:f>
              <c:numCache>
                <c:formatCode>0%</c:formatCode>
                <c:ptCount val="3"/>
                <c:pt idx="0">
                  <c:v>0</c:v>
                </c:pt>
                <c:pt idx="1">
                  <c:v>3.5293936618619078E-2</c:v>
                </c:pt>
                <c:pt idx="2">
                  <c:v>0</c:v>
                </c:pt>
              </c:numCache>
            </c:numRef>
          </c:val>
          <c:extLst>
            <c:ext xmlns:c16="http://schemas.microsoft.com/office/drawing/2014/chart" uri="{C3380CC4-5D6E-409C-BE32-E72D297353CC}">
              <c16:uniqueId val="{00000003-320D-472F-8B04-79B99C36A501}"/>
            </c:ext>
          </c:extLst>
        </c:ser>
        <c:ser>
          <c:idx val="4"/>
          <c:order val="4"/>
          <c:tx>
            <c:strRef>
              <c:f>'U10m demersal trawl-seine'!$B$167</c:f>
              <c:strCache>
                <c:ptCount val="1"/>
                <c:pt idx="0">
                  <c:v>Plaice</c:v>
                </c:pt>
              </c:strCache>
            </c:strRef>
          </c:tx>
          <c:spPr>
            <a:solidFill>
              <a:srgbClr val="E84A38"/>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trawl-seine'!$C$167:$E$167</c:f>
              <c:numCache>
                <c:formatCode>0%</c:formatCode>
                <c:ptCount val="3"/>
                <c:pt idx="0">
                  <c:v>5.937307392347585E-2</c:v>
                </c:pt>
                <c:pt idx="1">
                  <c:v>3.4895631120300273E-2</c:v>
                </c:pt>
                <c:pt idx="2">
                  <c:v>4.8968032800274425E-2</c:v>
                </c:pt>
              </c:numCache>
            </c:numRef>
          </c:val>
          <c:extLst>
            <c:ext xmlns:c16="http://schemas.microsoft.com/office/drawing/2014/chart" uri="{C3380CC4-5D6E-409C-BE32-E72D297353CC}">
              <c16:uniqueId val="{00000004-320D-472F-8B04-79B99C36A501}"/>
            </c:ext>
          </c:extLst>
        </c:ser>
        <c:ser>
          <c:idx val="5"/>
          <c:order val="5"/>
          <c:tx>
            <c:strRef>
              <c:f>'U10m demersal trawl-seine'!$B$168</c:f>
              <c:strCache>
                <c:ptCount val="1"/>
                <c:pt idx="0">
                  <c:v>Squid</c:v>
                </c:pt>
              </c:strCache>
            </c:strRef>
          </c:tx>
          <c:spPr>
            <a:solidFill>
              <a:srgbClr val="C1D119"/>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trawl-seine'!$C$168:$E$168</c:f>
              <c:numCache>
                <c:formatCode>0%</c:formatCode>
                <c:ptCount val="3"/>
                <c:pt idx="0">
                  <c:v>0</c:v>
                </c:pt>
                <c:pt idx="1">
                  <c:v>0</c:v>
                </c:pt>
                <c:pt idx="2">
                  <c:v>7.5242808605171602E-2</c:v>
                </c:pt>
              </c:numCache>
            </c:numRef>
          </c:val>
          <c:extLst>
            <c:ext xmlns:c16="http://schemas.microsoft.com/office/drawing/2014/chart" uri="{C3380CC4-5D6E-409C-BE32-E72D297353CC}">
              <c16:uniqueId val="{00000005-320D-472F-8B04-79B99C36A501}"/>
            </c:ext>
          </c:extLst>
        </c:ser>
        <c:ser>
          <c:idx val="6"/>
          <c:order val="6"/>
          <c:tx>
            <c:strRef>
              <c:f>'U10m demersal trawl-seine'!$B$169</c:f>
              <c:strCache>
                <c:ptCount val="1"/>
                <c:pt idx="0">
                  <c:v>Les. Spot. Dog</c:v>
                </c:pt>
              </c:strCache>
            </c:strRef>
          </c:tx>
          <c:spPr>
            <a:solidFill>
              <a:srgbClr val="E40D2C"/>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trawl-seine'!$C$169:$E$169</c:f>
              <c:numCache>
                <c:formatCode>0%</c:formatCode>
                <c:ptCount val="3"/>
                <c:pt idx="0">
                  <c:v>0</c:v>
                </c:pt>
                <c:pt idx="1">
                  <c:v>0</c:v>
                </c:pt>
                <c:pt idx="2">
                  <c:v>3.8188777177020204E-2</c:v>
                </c:pt>
              </c:numCache>
            </c:numRef>
          </c:val>
          <c:extLst>
            <c:ext xmlns:c16="http://schemas.microsoft.com/office/drawing/2014/chart" uri="{C3380CC4-5D6E-409C-BE32-E72D297353CC}">
              <c16:uniqueId val="{00000006-320D-472F-8B04-79B99C36A501}"/>
            </c:ext>
          </c:extLst>
        </c:ser>
        <c:ser>
          <c:idx val="7"/>
          <c:order val="7"/>
          <c:tx>
            <c:strRef>
              <c:f>'U10m demersal trawl-seine'!$B$170</c:f>
              <c:strCache>
                <c:ptCount val="1"/>
                <c:pt idx="0">
                  <c:v>Sprats</c:v>
                </c:pt>
              </c:strCache>
            </c:strRef>
          </c:tx>
          <c:spPr>
            <a:solidFill>
              <a:srgbClr val="0F9AA9"/>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trawl-seine'!$C$170:$E$170</c:f>
              <c:numCache>
                <c:formatCode>0%</c:formatCode>
                <c:ptCount val="3"/>
                <c:pt idx="0">
                  <c:v>9.1798362660689484E-2</c:v>
                </c:pt>
                <c:pt idx="1">
                  <c:v>0</c:v>
                </c:pt>
                <c:pt idx="2">
                  <c:v>0</c:v>
                </c:pt>
              </c:numCache>
            </c:numRef>
          </c:val>
          <c:extLst>
            <c:ext xmlns:c16="http://schemas.microsoft.com/office/drawing/2014/chart" uri="{C3380CC4-5D6E-409C-BE32-E72D297353CC}">
              <c16:uniqueId val="{00000007-320D-472F-8B04-79B99C36A501}"/>
            </c:ext>
          </c:extLst>
        </c:ser>
        <c:ser>
          <c:idx val="8"/>
          <c:order val="8"/>
          <c:tx>
            <c:strRef>
              <c:f>'U10m demersal trawl-seine'!$B$171</c:f>
              <c:strCache>
                <c:ptCount val="1"/>
                <c:pt idx="0">
                  <c:v>Sole</c:v>
                </c:pt>
              </c:strCache>
            </c:strRef>
          </c:tx>
          <c:spPr>
            <a:solidFill>
              <a:srgbClr val="E87308"/>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trawl-seine'!$C$171:$E$171</c:f>
              <c:numCache>
                <c:formatCode>0%</c:formatCode>
                <c:ptCount val="3"/>
                <c:pt idx="0">
                  <c:v>6.1704517335398251E-2</c:v>
                </c:pt>
                <c:pt idx="1">
                  <c:v>0</c:v>
                </c:pt>
                <c:pt idx="2">
                  <c:v>0</c:v>
                </c:pt>
              </c:numCache>
            </c:numRef>
          </c:val>
          <c:extLst>
            <c:ext xmlns:c16="http://schemas.microsoft.com/office/drawing/2014/chart" uri="{C3380CC4-5D6E-409C-BE32-E72D297353CC}">
              <c16:uniqueId val="{00000008-320D-472F-8B04-79B99C36A501}"/>
            </c:ext>
          </c:extLst>
        </c:ser>
        <c:ser>
          <c:idx val="9"/>
          <c:order val="9"/>
          <c:tx>
            <c:strRef>
              <c:f>'U10m demersal trawl-seine'!$B$172</c:f>
              <c:strCache>
                <c:ptCount val="1"/>
                <c:pt idx="0">
                  <c:v>Others</c:v>
                </c:pt>
              </c:strCache>
            </c:strRef>
          </c:tx>
          <c:spPr>
            <a:solidFill>
              <a:srgbClr val="55585A"/>
            </a:solidFill>
            <a:ln>
              <a:solidFill>
                <a:srgbClr val="FFFFFF"/>
              </a:solidFill>
            </a:ln>
          </c:spPr>
          <c:invertIfNegative val="0"/>
          <c:cat>
            <c:strRef>
              <c:f>'U10m demersal trawl-seine'!$C$162:$E$162</c:f>
              <c:strCache>
                <c:ptCount val="3"/>
                <c:pt idx="0">
                  <c:v>Most
profitable
quartile</c:v>
                </c:pt>
                <c:pt idx="1">
                  <c:v>Middle 
two quartiles</c:v>
                </c:pt>
                <c:pt idx="2">
                  <c:v>Least
profitable
quartile</c:v>
                </c:pt>
              </c:strCache>
            </c:strRef>
          </c:cat>
          <c:val>
            <c:numRef>
              <c:f>'U10m demersal trawl-seine'!$C$172:$E$172</c:f>
              <c:numCache>
                <c:formatCode>0%</c:formatCode>
                <c:ptCount val="3"/>
                <c:pt idx="0">
                  <c:v>0.38597744323265171</c:v>
                </c:pt>
                <c:pt idx="1">
                  <c:v>0.12434093654078437</c:v>
                </c:pt>
                <c:pt idx="2">
                  <c:v>0.24634830689818521</c:v>
                </c:pt>
              </c:numCache>
            </c:numRef>
          </c:val>
          <c:extLst>
            <c:ext xmlns:c16="http://schemas.microsoft.com/office/drawing/2014/chart" uri="{C3380CC4-5D6E-409C-BE32-E72D297353CC}">
              <c16:uniqueId val="{00000009-320D-472F-8B04-79B99C36A501}"/>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demersal trawl-seine'!$H$163</c:f>
              <c:strCache>
                <c:ptCount val="1"/>
                <c:pt idx="0">
                  <c:v>Nephrops</c:v>
                </c:pt>
              </c:strCache>
            </c:strRef>
          </c:tx>
          <c:spPr>
            <a:solidFill>
              <a:srgbClr val="2273B9"/>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trawl-seine'!$I$163:$K$163</c:f>
              <c:numCache>
                <c:formatCode>0%</c:formatCode>
                <c:ptCount val="3"/>
                <c:pt idx="0">
                  <c:v>0.20621254407287851</c:v>
                </c:pt>
                <c:pt idx="1">
                  <c:v>0.6355171472384924</c:v>
                </c:pt>
                <c:pt idx="2">
                  <c:v>0.6049878185830182</c:v>
                </c:pt>
              </c:numCache>
            </c:numRef>
          </c:val>
          <c:extLst>
            <c:ext xmlns:c16="http://schemas.microsoft.com/office/drawing/2014/chart" uri="{C3380CC4-5D6E-409C-BE32-E72D297353CC}">
              <c16:uniqueId val="{00000000-52B6-4803-97F4-2A0DDAE9BB7B}"/>
            </c:ext>
          </c:extLst>
        </c:ser>
        <c:ser>
          <c:idx val="1"/>
          <c:order val="1"/>
          <c:tx>
            <c:strRef>
              <c:f>'U10m demersal trawl-seine'!$H$164</c:f>
              <c:strCache>
                <c:ptCount val="1"/>
                <c:pt idx="0">
                  <c:v>Sole</c:v>
                </c:pt>
              </c:strCache>
            </c:strRef>
          </c:tx>
          <c:spPr>
            <a:solidFill>
              <a:srgbClr val="E87308"/>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trawl-seine'!$I$164:$K$164</c:f>
              <c:numCache>
                <c:formatCode>0%</c:formatCode>
                <c:ptCount val="3"/>
                <c:pt idx="0">
                  <c:v>0.28395938791340763</c:v>
                </c:pt>
                <c:pt idx="1">
                  <c:v>0.10869593249708191</c:v>
                </c:pt>
                <c:pt idx="2">
                  <c:v>7.3277827591566758E-2</c:v>
                </c:pt>
              </c:numCache>
            </c:numRef>
          </c:val>
          <c:extLst>
            <c:ext xmlns:c16="http://schemas.microsoft.com/office/drawing/2014/chart" uri="{C3380CC4-5D6E-409C-BE32-E72D297353CC}">
              <c16:uniqueId val="{00000001-52B6-4803-97F4-2A0DDAE9BB7B}"/>
            </c:ext>
          </c:extLst>
        </c:ser>
        <c:ser>
          <c:idx val="2"/>
          <c:order val="2"/>
          <c:tx>
            <c:strRef>
              <c:f>'U10m demersal trawl-seine'!$H$165</c:f>
              <c:strCache>
                <c:ptCount val="1"/>
                <c:pt idx="0">
                  <c:v>Scallops</c:v>
                </c:pt>
              </c:strCache>
            </c:strRef>
          </c:tx>
          <c:spPr>
            <a:solidFill>
              <a:srgbClr val="648C2E"/>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trawl-seine'!$I$165:$K$165</c:f>
              <c:numCache>
                <c:formatCode>0%</c:formatCode>
                <c:ptCount val="3"/>
                <c:pt idx="0">
                  <c:v>5.1393344877597183E-2</c:v>
                </c:pt>
                <c:pt idx="1">
                  <c:v>7.0295590916988213E-2</c:v>
                </c:pt>
                <c:pt idx="2">
                  <c:v>0</c:v>
                </c:pt>
              </c:numCache>
            </c:numRef>
          </c:val>
          <c:extLst>
            <c:ext xmlns:c16="http://schemas.microsoft.com/office/drawing/2014/chart" uri="{C3380CC4-5D6E-409C-BE32-E72D297353CC}">
              <c16:uniqueId val="{00000002-52B6-4803-97F4-2A0DDAE9BB7B}"/>
            </c:ext>
          </c:extLst>
        </c:ser>
        <c:ser>
          <c:idx val="3"/>
          <c:order val="3"/>
          <c:tx>
            <c:strRef>
              <c:f>'U10m demersal trawl-seine'!$H$166</c:f>
              <c:strCache>
                <c:ptCount val="1"/>
                <c:pt idx="0">
                  <c:v>Lemon Sole</c:v>
                </c:pt>
              </c:strCache>
            </c:strRef>
          </c:tx>
          <c:spPr>
            <a:solidFill>
              <a:srgbClr val="51AA81"/>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trawl-seine'!$I$166:$K$166</c:f>
              <c:numCache>
                <c:formatCode>0%</c:formatCode>
                <c:ptCount val="3"/>
                <c:pt idx="0">
                  <c:v>0</c:v>
                </c:pt>
                <c:pt idx="1">
                  <c:v>2.7360637769089629E-2</c:v>
                </c:pt>
                <c:pt idx="2">
                  <c:v>0</c:v>
                </c:pt>
              </c:numCache>
            </c:numRef>
          </c:val>
          <c:extLst>
            <c:ext xmlns:c16="http://schemas.microsoft.com/office/drawing/2014/chart" uri="{C3380CC4-5D6E-409C-BE32-E72D297353CC}">
              <c16:uniqueId val="{00000003-52B6-4803-97F4-2A0DDAE9BB7B}"/>
            </c:ext>
          </c:extLst>
        </c:ser>
        <c:ser>
          <c:idx val="4"/>
          <c:order val="4"/>
          <c:tx>
            <c:strRef>
              <c:f>'U10m demersal trawl-seine'!$H$167</c:f>
              <c:strCache>
                <c:ptCount val="1"/>
                <c:pt idx="0">
                  <c:v>Anglerfish</c:v>
                </c:pt>
              </c:strCache>
            </c:strRef>
          </c:tx>
          <c:spPr>
            <a:solidFill>
              <a:srgbClr val="169FDB"/>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trawl-seine'!$I$167:$K$167</c:f>
              <c:numCache>
                <c:formatCode>0%</c:formatCode>
                <c:ptCount val="3"/>
                <c:pt idx="0">
                  <c:v>0</c:v>
                </c:pt>
                <c:pt idx="1">
                  <c:v>2.7164123635300078E-2</c:v>
                </c:pt>
                <c:pt idx="2">
                  <c:v>0</c:v>
                </c:pt>
              </c:numCache>
            </c:numRef>
          </c:val>
          <c:extLst>
            <c:ext xmlns:c16="http://schemas.microsoft.com/office/drawing/2014/chart" uri="{C3380CC4-5D6E-409C-BE32-E72D297353CC}">
              <c16:uniqueId val="{00000004-52B6-4803-97F4-2A0DDAE9BB7B}"/>
            </c:ext>
          </c:extLst>
        </c:ser>
        <c:ser>
          <c:idx val="5"/>
          <c:order val="5"/>
          <c:tx>
            <c:strRef>
              <c:f>'U10m demersal trawl-seine'!$H$168</c:f>
              <c:strCache>
                <c:ptCount val="1"/>
                <c:pt idx="0">
                  <c:v>Squid</c:v>
                </c:pt>
              </c:strCache>
            </c:strRef>
          </c:tx>
          <c:spPr>
            <a:solidFill>
              <a:srgbClr val="C1D119"/>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trawl-seine'!$I$168:$K$168</c:f>
              <c:numCache>
                <c:formatCode>0%</c:formatCode>
                <c:ptCount val="3"/>
                <c:pt idx="0">
                  <c:v>4.7978801491828503E-2</c:v>
                </c:pt>
                <c:pt idx="1">
                  <c:v>0</c:v>
                </c:pt>
                <c:pt idx="2">
                  <c:v>8.3208494316705905E-2</c:v>
                </c:pt>
              </c:numCache>
            </c:numRef>
          </c:val>
          <c:extLst>
            <c:ext xmlns:c16="http://schemas.microsoft.com/office/drawing/2014/chart" uri="{C3380CC4-5D6E-409C-BE32-E72D297353CC}">
              <c16:uniqueId val="{00000005-52B6-4803-97F4-2A0DDAE9BB7B}"/>
            </c:ext>
          </c:extLst>
        </c:ser>
        <c:ser>
          <c:idx val="6"/>
          <c:order val="6"/>
          <c:tx>
            <c:strRef>
              <c:f>'U10m demersal trawl-seine'!$H$169</c:f>
              <c:strCache>
                <c:ptCount val="1"/>
                <c:pt idx="0">
                  <c:v>Plaice</c:v>
                </c:pt>
              </c:strCache>
            </c:strRef>
          </c:tx>
          <c:spPr>
            <a:solidFill>
              <a:srgbClr val="E84A38"/>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trawl-seine'!$I$169:$K$169</c:f>
              <c:numCache>
                <c:formatCode>0%</c:formatCode>
                <c:ptCount val="3"/>
                <c:pt idx="0">
                  <c:v>5.5957050237022202E-2</c:v>
                </c:pt>
                <c:pt idx="1">
                  <c:v>0</c:v>
                </c:pt>
                <c:pt idx="2">
                  <c:v>3.8369123541632091E-2</c:v>
                </c:pt>
              </c:numCache>
            </c:numRef>
          </c:val>
          <c:extLst>
            <c:ext xmlns:c16="http://schemas.microsoft.com/office/drawing/2014/chart" uri="{C3380CC4-5D6E-409C-BE32-E72D297353CC}">
              <c16:uniqueId val="{00000006-52B6-4803-97F4-2A0DDAE9BB7B}"/>
            </c:ext>
          </c:extLst>
        </c:ser>
        <c:ser>
          <c:idx val="7"/>
          <c:order val="7"/>
          <c:tx>
            <c:strRef>
              <c:f>'U10m demersal trawl-seine'!$H$170</c:f>
              <c:strCache>
                <c:ptCount val="1"/>
                <c:pt idx="0">
                  <c:v>Lobsters</c:v>
                </c:pt>
              </c:strCache>
            </c:strRef>
          </c:tx>
          <c:spPr>
            <a:solidFill>
              <a:srgbClr val="B4C3E5"/>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trawl-seine'!$I$170:$K$170</c:f>
              <c:numCache>
                <c:formatCode>0%</c:formatCode>
                <c:ptCount val="3"/>
                <c:pt idx="0">
                  <c:v>0</c:v>
                </c:pt>
                <c:pt idx="1">
                  <c:v>0</c:v>
                </c:pt>
                <c:pt idx="2">
                  <c:v>2.8016706934857655E-2</c:v>
                </c:pt>
              </c:numCache>
            </c:numRef>
          </c:val>
          <c:extLst>
            <c:ext xmlns:c16="http://schemas.microsoft.com/office/drawing/2014/chart" uri="{C3380CC4-5D6E-409C-BE32-E72D297353CC}">
              <c16:uniqueId val="{00000007-52B6-4803-97F4-2A0DDAE9BB7B}"/>
            </c:ext>
          </c:extLst>
        </c:ser>
        <c:ser>
          <c:idx val="8"/>
          <c:order val="8"/>
          <c:tx>
            <c:strRef>
              <c:f>'U10m demersal trawl-seine'!$H$171</c:f>
              <c:strCache>
                <c:ptCount val="1"/>
                <c:pt idx="0">
                  <c:v>Others</c:v>
                </c:pt>
              </c:strCache>
            </c:strRef>
          </c:tx>
          <c:spPr>
            <a:solidFill>
              <a:srgbClr val="55585A"/>
            </a:solidFill>
            <a:ln>
              <a:solidFill>
                <a:srgbClr val="FFFFFF"/>
              </a:solidFill>
            </a:ln>
          </c:spPr>
          <c:invertIfNegative val="0"/>
          <c:cat>
            <c:strRef>
              <c:f>'U10m demersal trawl-seine'!$I$162:$K$162</c:f>
              <c:strCache>
                <c:ptCount val="3"/>
                <c:pt idx="0">
                  <c:v>Most
profitable
quartile</c:v>
                </c:pt>
                <c:pt idx="1">
                  <c:v>Middle 
two quartiles</c:v>
                </c:pt>
                <c:pt idx="2">
                  <c:v>Least
profitable
quartile</c:v>
                </c:pt>
              </c:strCache>
            </c:strRef>
          </c:cat>
          <c:val>
            <c:numRef>
              <c:f>'U10m demersal trawl-seine'!$I$171:$K$171</c:f>
              <c:numCache>
                <c:formatCode>0%</c:formatCode>
                <c:ptCount val="3"/>
                <c:pt idx="0">
                  <c:v>0.35449887140726588</c:v>
                </c:pt>
                <c:pt idx="1">
                  <c:v>0.13096656794304784</c:v>
                </c:pt>
                <c:pt idx="2">
                  <c:v>0.17214002903221926</c:v>
                </c:pt>
              </c:numCache>
            </c:numRef>
          </c:val>
          <c:extLst>
            <c:ext xmlns:c16="http://schemas.microsoft.com/office/drawing/2014/chart" uri="{C3380CC4-5D6E-409C-BE32-E72D297353CC}">
              <c16:uniqueId val="{00000008-52B6-4803-97F4-2A0DDAE9BB7B}"/>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trawl'!$B$63</c:f>
          <c:strCache>
            <c:ptCount val="1"/>
            <c:pt idx="0">
              <c:v>Total cost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EFF-4E39-BD1D-D6A92847061E}"/>
              </c:ext>
            </c:extLst>
          </c:dPt>
          <c:dPt>
            <c:idx val="10"/>
            <c:bubble3D val="0"/>
            <c:spPr>
              <a:ln w="57150">
                <a:solidFill>
                  <a:srgbClr val="087CBB"/>
                </a:solidFill>
                <a:prstDash val="sysDot"/>
              </a:ln>
            </c:spPr>
            <c:extLst>
              <c:ext xmlns:c16="http://schemas.microsoft.com/office/drawing/2014/chart" uri="{C3380CC4-5D6E-409C-BE32-E72D297353CC}">
                <c16:uniqueId val="{00000003-1EFF-4E39-BD1D-D6A92847061E}"/>
              </c:ext>
            </c:extLst>
          </c:dPt>
          <c:cat>
            <c:numRef>
              <c:f>'Area VIIa demersal trawl'!$D$2:$N$2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demersal trawl'!$D$24:$N$24</c:f>
              <c:numCache>
                <c:formatCode>#,##0.00</c:formatCode>
                <c:ptCount val="11"/>
                <c:pt idx="0">
                  <c:v>7.9678305089357098</c:v>
                </c:pt>
                <c:pt idx="1">
                  <c:v>6.3334499594885196</c:v>
                </c:pt>
                <c:pt idx="2">
                  <c:v>7.3250110192992004</c:v>
                </c:pt>
                <c:pt idx="3">
                  <c:v>6.22699310462745</c:v>
                </c:pt>
                <c:pt idx="4">
                  <c:v>6.5225448548181904</c:v>
                </c:pt>
                <c:pt idx="5">
                  <c:v>7.1209894173230799</c:v>
                </c:pt>
                <c:pt idx="6">
                  <c:v>7.6398241995042699</c:v>
                </c:pt>
                <c:pt idx="7">
                  <c:v>7.2281603270938897</c:v>
                </c:pt>
                <c:pt idx="8">
                  <c:v>5.0828112658998199</c:v>
                </c:pt>
                <c:pt idx="9">
                  <c:v>4.5727958652376897</c:v>
                </c:pt>
                <c:pt idx="10">
                  <c:v>5.6606253629130627</c:v>
                </c:pt>
              </c:numCache>
            </c:numRef>
          </c:val>
          <c:smooth val="0"/>
          <c:extLst>
            <c:ext xmlns:c16="http://schemas.microsoft.com/office/drawing/2014/chart" uri="{C3380CC4-5D6E-409C-BE32-E72D297353CC}">
              <c16:uniqueId val="{00000004-1EFF-4E39-BD1D-D6A92847061E}"/>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u250kW'!$K$63</c:f>
          <c:strCache>
            <c:ptCount val="1"/>
            <c:pt idx="0">
              <c:v>Average annual operating profit per vessel (£'000)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30E9-4AA7-BC07-81C43A7D4B4B}"/>
              </c:ext>
            </c:extLst>
          </c:dPt>
          <c:dPt>
            <c:idx val="10"/>
            <c:bubble3D val="0"/>
            <c:spPr>
              <a:ln w="57150">
                <a:solidFill>
                  <a:schemeClr val="accent5"/>
                </a:solidFill>
                <a:prstDash val="sysDot"/>
              </a:ln>
            </c:spPr>
            <c:extLst>
              <c:ext xmlns:c16="http://schemas.microsoft.com/office/drawing/2014/chart" uri="{C3380CC4-5D6E-409C-BE32-E72D297353CC}">
                <c16:uniqueId val="{00000003-30E9-4AA7-BC07-81C43A7D4B4B}"/>
              </c:ext>
            </c:extLst>
          </c:dPt>
          <c:cat>
            <c:numRef>
              <c:f>'Area VIIa nephrops u250kW'!$D$2:$M$2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u250kW'!$D$38:$N$38</c:f>
              <c:numCache>
                <c:formatCode>#,##0.0</c:formatCode>
                <c:ptCount val="11"/>
                <c:pt idx="0">
                  <c:v>44.4</c:v>
                </c:pt>
                <c:pt idx="1">
                  <c:v>31.5</c:v>
                </c:pt>
                <c:pt idx="2">
                  <c:v>24.8</c:v>
                </c:pt>
                <c:pt idx="3">
                  <c:v>34.6</c:v>
                </c:pt>
                <c:pt idx="4">
                  <c:v>41.3</c:v>
                </c:pt>
                <c:pt idx="5">
                  <c:v>47.2</c:v>
                </c:pt>
                <c:pt idx="6">
                  <c:v>41.6</c:v>
                </c:pt>
                <c:pt idx="7">
                  <c:v>32.6</c:v>
                </c:pt>
                <c:pt idx="8">
                  <c:v>50.6</c:v>
                </c:pt>
                <c:pt idx="9">
                  <c:v>35.299999999999997</c:v>
                </c:pt>
                <c:pt idx="10">
                  <c:v>37</c:v>
                </c:pt>
              </c:numCache>
            </c:numRef>
          </c:val>
          <c:smooth val="0"/>
          <c:extLst>
            <c:ext xmlns:c16="http://schemas.microsoft.com/office/drawing/2014/chart" uri="{C3380CC4-5D6E-409C-BE32-E72D297353CC}">
              <c16:uniqueId val="{00000004-30E9-4AA7-BC07-81C43A7D4B4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demersal trawl-seine'!$K$140</c:f>
              <c:strCache>
                <c:ptCount val="1"/>
                <c:pt idx="0">
                  <c:v>Total income</c:v>
                </c:pt>
              </c:strCache>
            </c:strRef>
          </c:tx>
          <c:spPr>
            <a:solidFill>
              <a:srgbClr val="087CBB"/>
            </a:solidFill>
            <a:ln>
              <a:solidFill>
                <a:schemeClr val="accent1"/>
              </a:solidFill>
            </a:ln>
          </c:spPr>
          <c:invertIfNegative val="0"/>
          <c:cat>
            <c:strRef>
              <c:f>'U10m demersal trawl-seine'!$L$139:$N$139</c:f>
              <c:strCache>
                <c:ptCount val="3"/>
                <c:pt idx="0">
                  <c:v>Most
profitable
quartile</c:v>
                </c:pt>
                <c:pt idx="1">
                  <c:v>Middle
two quartiles</c:v>
                </c:pt>
                <c:pt idx="2">
                  <c:v>Least
profitable
quartile</c:v>
                </c:pt>
              </c:strCache>
            </c:strRef>
          </c:cat>
          <c:val>
            <c:numRef>
              <c:f>'U10m demersal trawl-seine'!$L$140:$N$140</c:f>
              <c:numCache>
                <c:formatCode>#,##0</c:formatCode>
                <c:ptCount val="3"/>
                <c:pt idx="0">
                  <c:v>120.99585156249999</c:v>
                </c:pt>
                <c:pt idx="1">
                  <c:v>60.903764278017199</c:v>
                </c:pt>
                <c:pt idx="2">
                  <c:v>29.986056640625002</c:v>
                </c:pt>
              </c:numCache>
            </c:numRef>
          </c:val>
          <c:extLst>
            <c:ext xmlns:c16="http://schemas.microsoft.com/office/drawing/2014/chart" uri="{C3380CC4-5D6E-409C-BE32-E72D297353CC}">
              <c16:uniqueId val="{00000000-121F-4F02-9525-9661305FC713}"/>
            </c:ext>
          </c:extLst>
        </c:ser>
        <c:ser>
          <c:idx val="1"/>
          <c:order val="1"/>
          <c:tx>
            <c:strRef>
              <c:f>'U10m demersal trawl-seine'!$K$141</c:f>
              <c:strCache>
                <c:ptCount val="1"/>
                <c:pt idx="0">
                  <c:v>Operating costs</c:v>
                </c:pt>
              </c:strCache>
            </c:strRef>
          </c:tx>
          <c:spPr>
            <a:solidFill>
              <a:srgbClr val="E87308"/>
            </a:solidFill>
          </c:spPr>
          <c:invertIfNegative val="0"/>
          <c:cat>
            <c:strRef>
              <c:f>'U10m demersal trawl-seine'!$L$139:$N$139</c:f>
              <c:strCache>
                <c:ptCount val="3"/>
                <c:pt idx="0">
                  <c:v>Most
profitable
quartile</c:v>
                </c:pt>
                <c:pt idx="1">
                  <c:v>Middle
two quartiles</c:v>
                </c:pt>
                <c:pt idx="2">
                  <c:v>Least
profitable
quartile</c:v>
                </c:pt>
              </c:strCache>
            </c:strRef>
          </c:cat>
          <c:val>
            <c:numRef>
              <c:f>'U10m demersal trawl-seine'!$L$141:$N$141</c:f>
              <c:numCache>
                <c:formatCode>#,##0</c:formatCode>
                <c:ptCount val="3"/>
                <c:pt idx="0">
                  <c:v>95.195999999999998</c:v>
                </c:pt>
                <c:pt idx="1">
                  <c:v>52.778802532327603</c:v>
                </c:pt>
                <c:pt idx="2">
                  <c:v>29.312601562499999</c:v>
                </c:pt>
              </c:numCache>
            </c:numRef>
          </c:val>
          <c:extLst>
            <c:ext xmlns:c16="http://schemas.microsoft.com/office/drawing/2014/chart" uri="{C3380CC4-5D6E-409C-BE32-E72D297353CC}">
              <c16:uniqueId val="{00000001-121F-4F02-9525-9661305FC713}"/>
            </c:ext>
          </c:extLst>
        </c:ser>
        <c:ser>
          <c:idx val="2"/>
          <c:order val="2"/>
          <c:tx>
            <c:strRef>
              <c:f>'U10m demersal trawl-seine'!$K$142</c:f>
              <c:strCache>
                <c:ptCount val="1"/>
                <c:pt idx="0">
                  <c:v>Operating profit</c:v>
                </c:pt>
              </c:strCache>
            </c:strRef>
          </c:tx>
          <c:spPr>
            <a:solidFill>
              <a:srgbClr val="51AA81"/>
            </a:solidFill>
          </c:spPr>
          <c:invertIfNegative val="0"/>
          <c:cat>
            <c:strRef>
              <c:f>'U10m demersal trawl-seine'!$L$139:$N$139</c:f>
              <c:strCache>
                <c:ptCount val="3"/>
                <c:pt idx="0">
                  <c:v>Most
profitable
quartile</c:v>
                </c:pt>
                <c:pt idx="1">
                  <c:v>Middle
two quartiles</c:v>
                </c:pt>
                <c:pt idx="2">
                  <c:v>Least
profitable
quartile</c:v>
                </c:pt>
              </c:strCache>
            </c:strRef>
          </c:cat>
          <c:val>
            <c:numRef>
              <c:f>'U10m demersal trawl-seine'!$L$142:$N$142</c:f>
              <c:numCache>
                <c:formatCode>#,##0</c:formatCode>
                <c:ptCount val="3"/>
                <c:pt idx="0">
                  <c:v>25.799851562499999</c:v>
                </c:pt>
                <c:pt idx="1">
                  <c:v>8.1249617456896495</c:v>
                </c:pt>
                <c:pt idx="2">
                  <c:v>0.67345507812500005</c:v>
                </c:pt>
              </c:numCache>
            </c:numRef>
          </c:val>
          <c:extLst>
            <c:ext xmlns:c16="http://schemas.microsoft.com/office/drawing/2014/chart" uri="{C3380CC4-5D6E-409C-BE32-E72D297353CC}">
              <c16:uniqueId val="{00000002-121F-4F02-9525-9661305FC71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demersal trawl-seine'!$K$143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nets'!$A$49</c:f>
          <c:strCache>
            <c:ptCount val="1"/>
            <c:pt idx="0">
              <c:v>Landings per kW day at sea (kg)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105-4C37-ADAB-700419D42349}"/>
              </c:ext>
            </c:extLst>
          </c:dPt>
          <c:dPt>
            <c:idx val="10"/>
            <c:bubble3D val="0"/>
            <c:spPr>
              <a:ln w="57150">
                <a:solidFill>
                  <a:srgbClr val="2273B9"/>
                </a:solidFill>
                <a:prstDash val="sysDot"/>
              </a:ln>
            </c:spPr>
            <c:extLst>
              <c:ext xmlns:c16="http://schemas.microsoft.com/office/drawing/2014/chart" uri="{C3380CC4-5D6E-409C-BE32-E72D297353CC}">
                <c16:uniqueId val="{00000003-B105-4C37-ADAB-700419D42349}"/>
              </c:ext>
            </c:extLst>
          </c:dPt>
          <c:cat>
            <c:numRef>
              <c:f>'U10m drift-fixed nets'!$D$2:$N$2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drift-fixed nets'!$D$22:$N$22</c:f>
              <c:numCache>
                <c:formatCode>#,##0.00</c:formatCode>
                <c:ptCount val="11"/>
                <c:pt idx="0">
                  <c:v>2.4833358819718883</c:v>
                </c:pt>
                <c:pt idx="1">
                  <c:v>2.6762825742437659</c:v>
                </c:pt>
                <c:pt idx="2">
                  <c:v>2.5586458683301396</c:v>
                </c:pt>
                <c:pt idx="3">
                  <c:v>2.3211940517843908</c:v>
                </c:pt>
                <c:pt idx="4">
                  <c:v>2.5423080048544415</c:v>
                </c:pt>
                <c:pt idx="5">
                  <c:v>2.3732360941998358</c:v>
                </c:pt>
                <c:pt idx="6">
                  <c:v>2.5689231296350865</c:v>
                </c:pt>
                <c:pt idx="7">
                  <c:v>2.6049135191605219</c:v>
                </c:pt>
                <c:pt idx="8">
                  <c:v>3.7222859015005145</c:v>
                </c:pt>
                <c:pt idx="9">
                  <c:v>2.5356349098654043</c:v>
                </c:pt>
                <c:pt idx="10">
                  <c:v>2.2498956852932457</c:v>
                </c:pt>
              </c:numCache>
            </c:numRef>
          </c:val>
          <c:smooth val="0"/>
          <c:extLst>
            <c:ext xmlns:c16="http://schemas.microsoft.com/office/drawing/2014/chart" uri="{C3380CC4-5D6E-409C-BE32-E72D297353CC}">
              <c16:uniqueId val="{00000004-B105-4C37-ADAB-700419D4234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nets'!$A$50</c:f>
          <c:strCache>
            <c:ptCount val="1"/>
            <c:pt idx="0">
              <c:v>Fishing income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CEA-4A27-8575-1FB043077CBE}"/>
              </c:ext>
            </c:extLst>
          </c:dPt>
          <c:dPt>
            <c:idx val="10"/>
            <c:bubble3D val="0"/>
            <c:spPr>
              <a:ln w="57150">
                <a:solidFill>
                  <a:srgbClr val="648C2E"/>
                </a:solidFill>
                <a:prstDash val="sysDot"/>
              </a:ln>
            </c:spPr>
            <c:extLst>
              <c:ext xmlns:c16="http://schemas.microsoft.com/office/drawing/2014/chart" uri="{C3380CC4-5D6E-409C-BE32-E72D297353CC}">
                <c16:uniqueId val="{00000003-0CEA-4A27-8575-1FB043077CBE}"/>
              </c:ext>
            </c:extLst>
          </c:dPt>
          <c:cat>
            <c:numRef>
              <c:f>'U10m drift-fixed nets'!$D$2:$N$2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drift-fixed nets'!$D$23:$N$23</c:f>
              <c:numCache>
                <c:formatCode>#,##0.00</c:formatCode>
                <c:ptCount val="11"/>
                <c:pt idx="0">
                  <c:v>6.8450457470716604</c:v>
                </c:pt>
                <c:pt idx="1">
                  <c:v>7.2452917745045804</c:v>
                </c:pt>
                <c:pt idx="2">
                  <c:v>7.54868903042287</c:v>
                </c:pt>
                <c:pt idx="3">
                  <c:v>6.6581850225699704</c:v>
                </c:pt>
                <c:pt idx="4">
                  <c:v>7.0410590853647701</c:v>
                </c:pt>
                <c:pt idx="5">
                  <c:v>7.4561307260587997</c:v>
                </c:pt>
                <c:pt idx="6">
                  <c:v>8.3332736549787594</c:v>
                </c:pt>
                <c:pt idx="7">
                  <c:v>8.5989726622918603</c:v>
                </c:pt>
                <c:pt idx="8">
                  <c:v>8.6852492184779599</c:v>
                </c:pt>
                <c:pt idx="9">
                  <c:v>8.5397580657658505</c:v>
                </c:pt>
                <c:pt idx="10">
                  <c:v>9.6135761683611189</c:v>
                </c:pt>
              </c:numCache>
            </c:numRef>
          </c:val>
          <c:smooth val="0"/>
          <c:extLst>
            <c:ext xmlns:c16="http://schemas.microsoft.com/office/drawing/2014/chart" uri="{C3380CC4-5D6E-409C-BE32-E72D297353CC}">
              <c16:uniqueId val="{00000004-0CEA-4A27-8575-1FB043077CB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nets'!$B$63</c:f>
          <c:strCache>
            <c:ptCount val="1"/>
            <c:pt idx="0">
              <c:v>Total cost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94A-4046-BA22-5DE559957CED}"/>
              </c:ext>
            </c:extLst>
          </c:dPt>
          <c:dPt>
            <c:idx val="10"/>
            <c:bubble3D val="0"/>
            <c:spPr>
              <a:ln w="57150">
                <a:solidFill>
                  <a:srgbClr val="087CBB"/>
                </a:solidFill>
                <a:prstDash val="sysDot"/>
              </a:ln>
            </c:spPr>
            <c:extLst>
              <c:ext xmlns:c16="http://schemas.microsoft.com/office/drawing/2014/chart" uri="{C3380CC4-5D6E-409C-BE32-E72D297353CC}">
                <c16:uniqueId val="{00000003-194A-4046-BA22-5DE559957CED}"/>
              </c:ext>
            </c:extLst>
          </c:dPt>
          <c:cat>
            <c:numRef>
              <c:f>'U10m drift-fixed nets'!$D$2:$N$2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drift-fixed nets'!$D$24:$N$24</c:f>
              <c:numCache>
                <c:formatCode>#,##0.00</c:formatCode>
                <c:ptCount val="11"/>
                <c:pt idx="0">
                  <c:v>4.8179413061746201</c:v>
                </c:pt>
                <c:pt idx="1">
                  <c:v>5.0941865164521598</c:v>
                </c:pt>
                <c:pt idx="2">
                  <c:v>5.3012104981375803</c:v>
                </c:pt>
                <c:pt idx="3">
                  <c:v>5.0129409801795104</c:v>
                </c:pt>
                <c:pt idx="4">
                  <c:v>4.9615073249542601</c:v>
                </c:pt>
                <c:pt idx="5">
                  <c:v>4.7772880668567996</c:v>
                </c:pt>
                <c:pt idx="6">
                  <c:v>5.91127134502588</c:v>
                </c:pt>
                <c:pt idx="7">
                  <c:v>6.3138020951350304</c:v>
                </c:pt>
                <c:pt idx="8">
                  <c:v>6.0348181138613004</c:v>
                </c:pt>
                <c:pt idx="9">
                  <c:v>5.8592235337777199</c:v>
                </c:pt>
                <c:pt idx="10">
                  <c:v>6.8357770402033564</c:v>
                </c:pt>
              </c:numCache>
            </c:numRef>
          </c:val>
          <c:smooth val="0"/>
          <c:extLst>
            <c:ext xmlns:c16="http://schemas.microsoft.com/office/drawing/2014/chart" uri="{C3380CC4-5D6E-409C-BE32-E72D297353CC}">
              <c16:uniqueId val="{00000004-194A-4046-BA22-5DE559957CE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nets'!$K$49</c:f>
          <c:strCache>
            <c:ptCount val="1"/>
            <c:pt idx="0">
              <c:v>Operating profit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5653-489F-9BC6-9449038E4C88}"/>
              </c:ext>
            </c:extLst>
          </c:dPt>
          <c:dPt>
            <c:idx val="10"/>
            <c:bubble3D val="0"/>
            <c:spPr>
              <a:ln w="57150">
                <a:solidFill>
                  <a:schemeClr val="accent3"/>
                </a:solidFill>
                <a:prstDash val="sysDot"/>
              </a:ln>
            </c:spPr>
            <c:extLst>
              <c:ext xmlns:c16="http://schemas.microsoft.com/office/drawing/2014/chart" uri="{C3380CC4-5D6E-409C-BE32-E72D297353CC}">
                <c16:uniqueId val="{00000003-5653-489F-9BC6-9449038E4C88}"/>
              </c:ext>
            </c:extLst>
          </c:dPt>
          <c:cat>
            <c:numRef>
              <c:f>'U10m drift-fixed nets'!$D$2:$N$2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drift-fixed nets'!$D$25:$N$25</c:f>
              <c:numCache>
                <c:formatCode>#,##0.00</c:formatCode>
                <c:ptCount val="11"/>
                <c:pt idx="0">
                  <c:v>2.46769643549128</c:v>
                </c:pt>
                <c:pt idx="1">
                  <c:v>2.2188219881388398</c:v>
                </c:pt>
                <c:pt idx="2">
                  <c:v>2.7897621932767001</c:v>
                </c:pt>
                <c:pt idx="3">
                  <c:v>1.7316947701746901</c:v>
                </c:pt>
                <c:pt idx="4">
                  <c:v>2.17575209625315</c:v>
                </c:pt>
                <c:pt idx="5">
                  <c:v>2.7511350353842201</c:v>
                </c:pt>
                <c:pt idx="6">
                  <c:v>2.4316070188866101</c:v>
                </c:pt>
                <c:pt idx="7">
                  <c:v>2.5466945479787899</c:v>
                </c:pt>
                <c:pt idx="8">
                  <c:v>4.49099235417156</c:v>
                </c:pt>
                <c:pt idx="9">
                  <c:v>2.9143626384166601</c:v>
                </c:pt>
                <c:pt idx="10">
                  <c:v>2.9471200061112741</c:v>
                </c:pt>
              </c:numCache>
            </c:numRef>
          </c:val>
          <c:smooth val="0"/>
          <c:extLst>
            <c:ext xmlns:c16="http://schemas.microsoft.com/office/drawing/2014/chart" uri="{C3380CC4-5D6E-409C-BE32-E72D297353CC}">
              <c16:uniqueId val="{00000004-5653-489F-9BC6-9449038E4C88}"/>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nets'!$A$51</c:f>
          <c:strCache>
            <c:ptCount val="1"/>
            <c:pt idx="0">
              <c:v>Average price per tonne landed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4D8-4558-A025-E30D6E3C10A9}"/>
              </c:ext>
            </c:extLst>
          </c:dPt>
          <c:dPt>
            <c:idx val="10"/>
            <c:bubble3D val="0"/>
            <c:spPr>
              <a:ln w="57150">
                <a:solidFill>
                  <a:schemeClr val="accent4"/>
                </a:solidFill>
                <a:prstDash val="sysDot"/>
              </a:ln>
            </c:spPr>
            <c:extLst>
              <c:ext xmlns:c16="http://schemas.microsoft.com/office/drawing/2014/chart" uri="{C3380CC4-5D6E-409C-BE32-E72D297353CC}">
                <c16:uniqueId val="{00000003-64D8-4558-A025-E30D6E3C10A9}"/>
              </c:ext>
            </c:extLst>
          </c:dPt>
          <c:cat>
            <c:numRef>
              <c:f>'U10m drift-fixed nets'!$D$2:$M$2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nets'!$D$21:$N$21</c:f>
              <c:numCache>
                <c:formatCode>#,##0</c:formatCode>
                <c:ptCount val="11"/>
                <c:pt idx="0">
                  <c:v>2756</c:v>
                </c:pt>
                <c:pt idx="1">
                  <c:v>2707</c:v>
                </c:pt>
                <c:pt idx="2">
                  <c:v>2950</c:v>
                </c:pt>
                <c:pt idx="3">
                  <c:v>2868</c:v>
                </c:pt>
                <c:pt idx="4">
                  <c:v>2770</c:v>
                </c:pt>
                <c:pt idx="5">
                  <c:v>3142</c:v>
                </c:pt>
                <c:pt idx="6">
                  <c:v>3244</c:v>
                </c:pt>
                <c:pt idx="7">
                  <c:v>3301</c:v>
                </c:pt>
                <c:pt idx="8">
                  <c:v>2333</c:v>
                </c:pt>
                <c:pt idx="9">
                  <c:v>3368</c:v>
                </c:pt>
                <c:pt idx="10">
                  <c:v>4273</c:v>
                </c:pt>
              </c:numCache>
            </c:numRef>
          </c:val>
          <c:smooth val="0"/>
          <c:extLst>
            <c:ext xmlns:c16="http://schemas.microsoft.com/office/drawing/2014/chart" uri="{C3380CC4-5D6E-409C-BE32-E72D297353CC}">
              <c16:uniqueId val="{00000004-64D8-4558-A025-E30D6E3C10A9}"/>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nets'!$K$63</c:f>
          <c:strCache>
            <c:ptCount val="1"/>
            <c:pt idx="0">
              <c:v>Average annual operating profit per vessel (£'000)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2B4-4BD4-AB02-5F7AD16A426C}"/>
              </c:ext>
            </c:extLst>
          </c:dPt>
          <c:dPt>
            <c:idx val="10"/>
            <c:bubble3D val="0"/>
            <c:spPr>
              <a:ln w="57150">
                <a:solidFill>
                  <a:schemeClr val="accent5"/>
                </a:solidFill>
                <a:prstDash val="sysDot"/>
              </a:ln>
            </c:spPr>
            <c:extLst>
              <c:ext xmlns:c16="http://schemas.microsoft.com/office/drawing/2014/chart" uri="{C3380CC4-5D6E-409C-BE32-E72D297353CC}">
                <c16:uniqueId val="{00000003-72B4-4BD4-AB02-5F7AD16A426C}"/>
              </c:ext>
            </c:extLst>
          </c:dPt>
          <c:cat>
            <c:numRef>
              <c:f>'U10m drift-fixed nets'!$D$2:$M$2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nets'!$D$38:$N$38</c:f>
              <c:numCache>
                <c:formatCode>#,##0.0</c:formatCode>
                <c:ptCount val="11"/>
                <c:pt idx="0">
                  <c:v>18.2</c:v>
                </c:pt>
                <c:pt idx="1">
                  <c:v>15.4</c:v>
                </c:pt>
                <c:pt idx="2">
                  <c:v>20.3</c:v>
                </c:pt>
                <c:pt idx="3">
                  <c:v>12.1</c:v>
                </c:pt>
                <c:pt idx="4">
                  <c:v>15.6</c:v>
                </c:pt>
                <c:pt idx="5">
                  <c:v>18.899999999999999</c:v>
                </c:pt>
                <c:pt idx="6">
                  <c:v>15.3</c:v>
                </c:pt>
                <c:pt idx="7">
                  <c:v>13.3</c:v>
                </c:pt>
                <c:pt idx="8">
                  <c:v>22.3</c:v>
                </c:pt>
                <c:pt idx="9">
                  <c:v>14</c:v>
                </c:pt>
                <c:pt idx="10">
                  <c:v>12.8</c:v>
                </c:pt>
              </c:numCache>
            </c:numRef>
          </c:val>
          <c:smooth val="0"/>
          <c:extLst>
            <c:ext xmlns:c16="http://schemas.microsoft.com/office/drawing/2014/chart" uri="{C3380CC4-5D6E-409C-BE32-E72D297353CC}">
              <c16:uniqueId val="{00000004-72B4-4BD4-AB02-5F7AD16A426C}"/>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nets'!$A$77</c:f>
          <c:strCache>
            <c:ptCount val="1"/>
            <c:pt idx="0">
              <c:v>Top 5 landed species by volume in 2021
Under 10m drift and/or fixed nets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5CF6-41C8-A189-7FD9235D164F}"/>
              </c:ext>
            </c:extLst>
          </c:dPt>
          <c:dPt>
            <c:idx val="1"/>
            <c:bubble3D val="0"/>
            <c:spPr>
              <a:solidFill>
                <a:srgbClr val="0F9AA9"/>
              </a:solidFill>
              <a:ln>
                <a:solidFill>
                  <a:srgbClr val="FFFFFF"/>
                </a:solidFill>
              </a:ln>
            </c:spPr>
            <c:extLst>
              <c:ext xmlns:c16="http://schemas.microsoft.com/office/drawing/2014/chart" uri="{C3380CC4-5D6E-409C-BE32-E72D297353CC}">
                <c16:uniqueId val="{00000003-5CF6-41C8-A189-7FD9235D164F}"/>
              </c:ext>
            </c:extLst>
          </c:dPt>
          <c:dPt>
            <c:idx val="2"/>
            <c:bubble3D val="0"/>
            <c:spPr>
              <a:solidFill>
                <a:srgbClr val="2273B9"/>
              </a:solidFill>
              <a:ln>
                <a:solidFill>
                  <a:srgbClr val="FFFFFF"/>
                </a:solidFill>
              </a:ln>
            </c:spPr>
            <c:extLst>
              <c:ext xmlns:c16="http://schemas.microsoft.com/office/drawing/2014/chart" uri="{C3380CC4-5D6E-409C-BE32-E72D297353CC}">
                <c16:uniqueId val="{00000005-5CF6-41C8-A189-7FD9235D164F}"/>
              </c:ext>
            </c:extLst>
          </c:dPt>
          <c:dPt>
            <c:idx val="3"/>
            <c:bubble3D val="0"/>
            <c:spPr>
              <a:solidFill>
                <a:srgbClr val="FED825"/>
              </a:solidFill>
              <a:ln>
                <a:solidFill>
                  <a:srgbClr val="FFFFFF"/>
                </a:solidFill>
              </a:ln>
            </c:spPr>
            <c:extLst>
              <c:ext xmlns:c16="http://schemas.microsoft.com/office/drawing/2014/chart" uri="{C3380CC4-5D6E-409C-BE32-E72D297353CC}">
                <c16:uniqueId val="{00000007-5CF6-41C8-A189-7FD9235D164F}"/>
              </c:ext>
            </c:extLst>
          </c:dPt>
          <c:dPt>
            <c:idx val="4"/>
            <c:bubble3D val="0"/>
            <c:spPr>
              <a:solidFill>
                <a:srgbClr val="707271"/>
              </a:solidFill>
              <a:ln>
                <a:solidFill>
                  <a:srgbClr val="FFFFFF"/>
                </a:solidFill>
              </a:ln>
            </c:spPr>
            <c:extLst>
              <c:ext xmlns:c16="http://schemas.microsoft.com/office/drawing/2014/chart" uri="{C3380CC4-5D6E-409C-BE32-E72D297353CC}">
                <c16:uniqueId val="{00000009-5CF6-41C8-A189-7FD9235D164F}"/>
              </c:ext>
            </c:extLst>
          </c:dPt>
          <c:dPt>
            <c:idx val="5"/>
            <c:bubble3D val="0"/>
            <c:spPr>
              <a:solidFill>
                <a:srgbClr val="55585A"/>
              </a:solidFill>
              <a:ln>
                <a:solidFill>
                  <a:srgbClr val="FFFFFF"/>
                </a:solidFill>
              </a:ln>
            </c:spPr>
            <c:extLst>
              <c:ext xmlns:c16="http://schemas.microsoft.com/office/drawing/2014/chart" uri="{C3380CC4-5D6E-409C-BE32-E72D297353CC}">
                <c16:uniqueId val="{0000000B-5CF6-41C8-A189-7FD9235D164F}"/>
              </c:ext>
            </c:extLst>
          </c:dPt>
          <c:cat>
            <c:strRef>
              <c:f>'U10m drift-fixed nets'!$B$78:$B$83</c:f>
              <c:strCache>
                <c:ptCount val="6"/>
                <c:pt idx="0">
                  <c:v>Pollack - 11.3%</c:v>
                </c:pt>
                <c:pt idx="1">
                  <c:v>Whelks - 9.7%</c:v>
                </c:pt>
                <c:pt idx="2">
                  <c:v>Sole - 7.9%</c:v>
                </c:pt>
                <c:pt idx="3">
                  <c:v>Pilchards - 7.9%</c:v>
                </c:pt>
                <c:pt idx="4">
                  <c:v>Cockles - 6.4%</c:v>
                </c:pt>
                <c:pt idx="5">
                  <c:v>Others - 56.8%</c:v>
                </c:pt>
              </c:strCache>
            </c:strRef>
          </c:cat>
          <c:val>
            <c:numRef>
              <c:f>'U10m drift-fixed nets'!$C$78:$C$83</c:f>
              <c:numCache>
                <c:formatCode>0.0%</c:formatCode>
                <c:ptCount val="6"/>
                <c:pt idx="0">
                  <c:v>0.11342607588651037</c:v>
                </c:pt>
                <c:pt idx="1">
                  <c:v>9.7158845922266715E-2</c:v>
                </c:pt>
                <c:pt idx="2">
                  <c:v>7.9097120016691502E-2</c:v>
                </c:pt>
                <c:pt idx="3">
                  <c:v>7.8676797395460907E-2</c:v>
                </c:pt>
                <c:pt idx="4">
                  <c:v>6.356549107368703E-2</c:v>
                </c:pt>
                <c:pt idx="5">
                  <c:v>0.56807566970538348</c:v>
                </c:pt>
              </c:numCache>
            </c:numRef>
          </c:val>
          <c:extLst>
            <c:ext xmlns:c16="http://schemas.microsoft.com/office/drawing/2014/chart" uri="{C3380CC4-5D6E-409C-BE32-E72D297353CC}">
              <c16:uniqueId val="{0000000C-5CF6-41C8-A189-7FD9235D164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nets'!$F$77</c:f>
          <c:strCache>
            <c:ptCount val="1"/>
            <c:pt idx="0">
              <c:v>Top 5 landed species by value in 2021
Under 10m drift and/or fixed nets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9DF-46E2-A399-6B7AAAA4B341}"/>
              </c:ext>
            </c:extLst>
          </c:dPt>
          <c:dPt>
            <c:idx val="1"/>
            <c:bubble3D val="0"/>
            <c:spPr>
              <a:solidFill>
                <a:srgbClr val="E87308"/>
              </a:solidFill>
              <a:ln>
                <a:solidFill>
                  <a:srgbClr val="FFFFFF"/>
                </a:solidFill>
              </a:ln>
            </c:spPr>
            <c:extLst>
              <c:ext xmlns:c16="http://schemas.microsoft.com/office/drawing/2014/chart" uri="{C3380CC4-5D6E-409C-BE32-E72D297353CC}">
                <c16:uniqueId val="{00000003-59DF-46E2-A399-6B7AAAA4B341}"/>
              </c:ext>
            </c:extLst>
          </c:dPt>
          <c:dPt>
            <c:idx val="2"/>
            <c:bubble3D val="0"/>
            <c:spPr>
              <a:solidFill>
                <a:srgbClr val="648C2E"/>
              </a:solidFill>
              <a:ln>
                <a:solidFill>
                  <a:srgbClr val="FFFFFF"/>
                </a:solidFill>
              </a:ln>
            </c:spPr>
            <c:extLst>
              <c:ext xmlns:c16="http://schemas.microsoft.com/office/drawing/2014/chart" uri="{C3380CC4-5D6E-409C-BE32-E72D297353CC}">
                <c16:uniqueId val="{00000005-59DF-46E2-A399-6B7AAAA4B341}"/>
              </c:ext>
            </c:extLst>
          </c:dPt>
          <c:dPt>
            <c:idx val="3"/>
            <c:bubble3D val="0"/>
            <c:spPr>
              <a:solidFill>
                <a:srgbClr val="C1D119"/>
              </a:solidFill>
              <a:ln>
                <a:solidFill>
                  <a:srgbClr val="FFFFFF"/>
                </a:solidFill>
              </a:ln>
            </c:spPr>
            <c:extLst>
              <c:ext xmlns:c16="http://schemas.microsoft.com/office/drawing/2014/chart" uri="{C3380CC4-5D6E-409C-BE32-E72D297353CC}">
                <c16:uniqueId val="{00000007-59DF-46E2-A399-6B7AAAA4B341}"/>
              </c:ext>
            </c:extLst>
          </c:dPt>
          <c:dPt>
            <c:idx val="4"/>
            <c:bubble3D val="0"/>
            <c:spPr>
              <a:solidFill>
                <a:srgbClr val="E84A38"/>
              </a:solidFill>
              <a:ln>
                <a:solidFill>
                  <a:srgbClr val="FFFFFF"/>
                </a:solidFill>
              </a:ln>
            </c:spPr>
            <c:extLst>
              <c:ext xmlns:c16="http://schemas.microsoft.com/office/drawing/2014/chart" uri="{C3380CC4-5D6E-409C-BE32-E72D297353CC}">
                <c16:uniqueId val="{00000009-59DF-46E2-A399-6B7AAAA4B341}"/>
              </c:ext>
            </c:extLst>
          </c:dPt>
          <c:dPt>
            <c:idx val="5"/>
            <c:bubble3D val="0"/>
            <c:spPr>
              <a:solidFill>
                <a:srgbClr val="55585A"/>
              </a:solidFill>
              <a:ln>
                <a:solidFill>
                  <a:srgbClr val="FFFFFF"/>
                </a:solidFill>
              </a:ln>
            </c:spPr>
            <c:extLst>
              <c:ext xmlns:c16="http://schemas.microsoft.com/office/drawing/2014/chart" uri="{C3380CC4-5D6E-409C-BE32-E72D297353CC}">
                <c16:uniqueId val="{0000000B-59DF-46E2-A399-6B7AAAA4B341}"/>
              </c:ext>
            </c:extLst>
          </c:dPt>
          <c:cat>
            <c:strRef>
              <c:f>'U10m drift-fixed nets'!$G$78:$G$83</c:f>
              <c:strCache>
                <c:ptCount val="6"/>
                <c:pt idx="0">
                  <c:v>Sole - 27.0%</c:v>
                </c:pt>
                <c:pt idx="1">
                  <c:v>Bass - 14.6%</c:v>
                </c:pt>
                <c:pt idx="2">
                  <c:v>Pollack - 8.9%</c:v>
                </c:pt>
                <c:pt idx="3">
                  <c:v>Turbot - 5.9%</c:v>
                </c:pt>
                <c:pt idx="4">
                  <c:v>Anglerfish - 4.7%</c:v>
                </c:pt>
                <c:pt idx="5">
                  <c:v>Others - 38.9%</c:v>
                </c:pt>
              </c:strCache>
            </c:strRef>
          </c:cat>
          <c:val>
            <c:numRef>
              <c:f>'U10m drift-fixed nets'!$H$78:$H$83</c:f>
              <c:numCache>
                <c:formatCode>0.0%</c:formatCode>
                <c:ptCount val="6"/>
                <c:pt idx="0">
                  <c:v>0.26968000965077615</c:v>
                </c:pt>
                <c:pt idx="1">
                  <c:v>0.14621951123120736</c:v>
                </c:pt>
                <c:pt idx="2">
                  <c:v>8.899374850502377E-2</c:v>
                </c:pt>
                <c:pt idx="3">
                  <c:v>5.8808133519420894E-2</c:v>
                </c:pt>
                <c:pt idx="4">
                  <c:v>4.7475723723986764E-2</c:v>
                </c:pt>
                <c:pt idx="5">
                  <c:v>0.38882287336958499</c:v>
                </c:pt>
              </c:numCache>
            </c:numRef>
          </c:val>
          <c:extLst>
            <c:ext xmlns:c16="http://schemas.microsoft.com/office/drawing/2014/chart" uri="{C3380CC4-5D6E-409C-BE32-E72D297353CC}">
              <c16:uniqueId val="{0000000C-59DF-46E2-A399-6B7AAAA4B34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drift-fixed nets'!$C$93</c:f>
              <c:strCache>
                <c:ptCount val="1"/>
                <c:pt idx="0">
                  <c:v>Sole</c:v>
                </c:pt>
              </c:strCache>
            </c:strRef>
          </c:tx>
          <c:spPr>
            <a:solidFill>
              <a:srgbClr val="2273B9"/>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nets'!$D$93:$M$93</c:f>
              <c:numCache>
                <c:formatCode>0%</c:formatCode>
                <c:ptCount val="10"/>
                <c:pt idx="0">
                  <c:v>0.26850338874963342</c:v>
                </c:pt>
                <c:pt idx="1">
                  <c:v>0.24134412512114328</c:v>
                </c:pt>
                <c:pt idx="2">
                  <c:v>0.29624209935649259</c:v>
                </c:pt>
                <c:pt idx="3">
                  <c:v>0.24285514658310189</c:v>
                </c:pt>
                <c:pt idx="4">
                  <c:v>0.27416918130785034</c:v>
                </c:pt>
                <c:pt idx="5">
                  <c:v>0.30225684874310094</c:v>
                </c:pt>
                <c:pt idx="6">
                  <c:v>0.26289197604597442</c:v>
                </c:pt>
                <c:pt idx="7">
                  <c:v>0.24197211043652589</c:v>
                </c:pt>
                <c:pt idx="8">
                  <c:v>0.26968000965077615</c:v>
                </c:pt>
                <c:pt idx="9">
                  <c:v>0.30840906670737805</c:v>
                </c:pt>
              </c:numCache>
            </c:numRef>
          </c:val>
          <c:extLst>
            <c:ext xmlns:c16="http://schemas.microsoft.com/office/drawing/2014/chart" uri="{C3380CC4-5D6E-409C-BE32-E72D297353CC}">
              <c16:uniqueId val="{00000000-7662-4BA2-80DC-4AC9B5A018F0}"/>
            </c:ext>
          </c:extLst>
        </c:ser>
        <c:ser>
          <c:idx val="1"/>
          <c:order val="1"/>
          <c:tx>
            <c:strRef>
              <c:f>'U10m drift-fixed nets'!$C$94</c:f>
              <c:strCache>
                <c:ptCount val="1"/>
                <c:pt idx="0">
                  <c:v>Bass</c:v>
                </c:pt>
              </c:strCache>
            </c:strRef>
          </c:tx>
          <c:spPr>
            <a:solidFill>
              <a:srgbClr val="E87308"/>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nets'!$D$94:$M$94</c:f>
              <c:numCache>
                <c:formatCode>0%</c:formatCode>
                <c:ptCount val="10"/>
                <c:pt idx="0">
                  <c:v>0.18301357471573879</c:v>
                </c:pt>
                <c:pt idx="1">
                  <c:v>0.28009911143223593</c:v>
                </c:pt>
                <c:pt idx="2">
                  <c:v>0.20195406641419714</c:v>
                </c:pt>
                <c:pt idx="3">
                  <c:v>0.15137343915995949</c:v>
                </c:pt>
                <c:pt idx="4">
                  <c:v>7.5581054239255652E-2</c:v>
                </c:pt>
                <c:pt idx="5">
                  <c:v>9.941342908968516E-2</c:v>
                </c:pt>
                <c:pt idx="6">
                  <c:v>0.11203896148603144</c:v>
                </c:pt>
                <c:pt idx="7">
                  <c:v>0.12774652598979969</c:v>
                </c:pt>
                <c:pt idx="8">
                  <c:v>0.14621951123120736</c:v>
                </c:pt>
                <c:pt idx="9">
                  <c:v>0.12704779272230698</c:v>
                </c:pt>
              </c:numCache>
            </c:numRef>
          </c:val>
          <c:extLst>
            <c:ext xmlns:c16="http://schemas.microsoft.com/office/drawing/2014/chart" uri="{C3380CC4-5D6E-409C-BE32-E72D297353CC}">
              <c16:uniqueId val="{00000001-7662-4BA2-80DC-4AC9B5A018F0}"/>
            </c:ext>
          </c:extLst>
        </c:ser>
        <c:ser>
          <c:idx val="2"/>
          <c:order val="2"/>
          <c:tx>
            <c:strRef>
              <c:f>'U10m drift-fixed nets'!$C$95</c:f>
              <c:strCache>
                <c:ptCount val="1"/>
                <c:pt idx="0">
                  <c:v>Pollack</c:v>
                </c:pt>
              </c:strCache>
            </c:strRef>
          </c:tx>
          <c:spPr>
            <a:solidFill>
              <a:srgbClr val="648C2E"/>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nets'!$D$95:$M$95</c:f>
              <c:numCache>
                <c:formatCode>0%</c:formatCode>
                <c:ptCount val="10"/>
                <c:pt idx="0">
                  <c:v>6.272873528434432E-2</c:v>
                </c:pt>
                <c:pt idx="1">
                  <c:v>5.4047954552092971E-2</c:v>
                </c:pt>
                <c:pt idx="2">
                  <c:v>5.0494417076834365E-2</c:v>
                </c:pt>
                <c:pt idx="3">
                  <c:v>8.1391590058995406E-2</c:v>
                </c:pt>
                <c:pt idx="4">
                  <c:v>0.11284949718281219</c:v>
                </c:pt>
                <c:pt idx="5">
                  <c:v>9.4034473704803417E-2</c:v>
                </c:pt>
                <c:pt idx="6">
                  <c:v>8.98727779616324E-2</c:v>
                </c:pt>
                <c:pt idx="7">
                  <c:v>9.5036792884866841E-2</c:v>
                </c:pt>
                <c:pt idx="8">
                  <c:v>8.899374850502377E-2</c:v>
                </c:pt>
                <c:pt idx="9">
                  <c:v>7.305960595337746E-2</c:v>
                </c:pt>
              </c:numCache>
            </c:numRef>
          </c:val>
          <c:extLst>
            <c:ext xmlns:c16="http://schemas.microsoft.com/office/drawing/2014/chart" uri="{C3380CC4-5D6E-409C-BE32-E72D297353CC}">
              <c16:uniqueId val="{00000002-7662-4BA2-80DC-4AC9B5A018F0}"/>
            </c:ext>
          </c:extLst>
        </c:ser>
        <c:ser>
          <c:idx val="3"/>
          <c:order val="3"/>
          <c:tx>
            <c:strRef>
              <c:f>'U10m drift-fixed nets'!$C$96</c:f>
              <c:strCache>
                <c:ptCount val="1"/>
                <c:pt idx="0">
                  <c:v>Turbot</c:v>
                </c:pt>
              </c:strCache>
            </c:strRef>
          </c:tx>
          <c:spPr>
            <a:solidFill>
              <a:srgbClr val="C1D119"/>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nets'!$D$96:$M$96</c:f>
              <c:numCache>
                <c:formatCode>0%</c:formatCode>
                <c:ptCount val="10"/>
                <c:pt idx="4">
                  <c:v>7.2137095510464752E-2</c:v>
                </c:pt>
                <c:pt idx="5">
                  <c:v>4.7775114974244359E-2</c:v>
                </c:pt>
                <c:pt idx="6">
                  <c:v>5.634165654584631E-2</c:v>
                </c:pt>
                <c:pt idx="8">
                  <c:v>5.8808133519420894E-2</c:v>
                </c:pt>
                <c:pt idx="9">
                  <c:v>5.0809119784945039E-2</c:v>
                </c:pt>
              </c:numCache>
            </c:numRef>
          </c:val>
          <c:extLst>
            <c:ext xmlns:c16="http://schemas.microsoft.com/office/drawing/2014/chart" uri="{C3380CC4-5D6E-409C-BE32-E72D297353CC}">
              <c16:uniqueId val="{00000003-7662-4BA2-80DC-4AC9B5A018F0}"/>
            </c:ext>
          </c:extLst>
        </c:ser>
        <c:ser>
          <c:idx val="4"/>
          <c:order val="4"/>
          <c:tx>
            <c:strRef>
              <c:f>'U10m drift-fixed nets'!$C$97</c:f>
              <c:strCache>
                <c:ptCount val="1"/>
                <c:pt idx="0">
                  <c:v>Anglerfish</c:v>
                </c:pt>
              </c:strCache>
            </c:strRef>
          </c:tx>
          <c:spPr>
            <a:solidFill>
              <a:srgbClr val="E84A38"/>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nets'!$D$97:$M$97</c:f>
              <c:numCache>
                <c:formatCode>0%</c:formatCode>
                <c:ptCount val="10"/>
                <c:pt idx="0">
                  <c:v>5.4930937106562022E-2</c:v>
                </c:pt>
                <c:pt idx="3">
                  <c:v>5.8196876737570548E-2</c:v>
                </c:pt>
                <c:pt idx="4">
                  <c:v>6.8218456614912937E-2</c:v>
                </c:pt>
                <c:pt idx="8">
                  <c:v>4.7475723723986764E-2</c:v>
                </c:pt>
              </c:numCache>
            </c:numRef>
          </c:val>
          <c:extLst>
            <c:ext xmlns:c16="http://schemas.microsoft.com/office/drawing/2014/chart" uri="{C3380CC4-5D6E-409C-BE32-E72D297353CC}">
              <c16:uniqueId val="{00000004-7662-4BA2-80DC-4AC9B5A018F0}"/>
            </c:ext>
          </c:extLst>
        </c:ser>
        <c:ser>
          <c:idx val="5"/>
          <c:order val="5"/>
          <c:tx>
            <c:strRef>
              <c:f>'U10m drift-fixed nets'!$C$98</c:f>
              <c:strCache>
                <c:ptCount val="1"/>
                <c:pt idx="0">
                  <c:v>Lobsters</c:v>
                </c:pt>
              </c:strCache>
            </c:strRef>
          </c:tx>
          <c:spPr>
            <a:solidFill>
              <a:srgbClr val="0F9AA9"/>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nets'!$D$98:$M$98</c:f>
              <c:numCache>
                <c:formatCode>0%</c:formatCode>
                <c:ptCount val="10"/>
                <c:pt idx="1">
                  <c:v>3.7629696669099592E-2</c:v>
                </c:pt>
                <c:pt idx="9">
                  <c:v>5.4860135090777362E-2</c:v>
                </c:pt>
              </c:numCache>
            </c:numRef>
          </c:val>
          <c:extLst>
            <c:ext xmlns:c16="http://schemas.microsoft.com/office/drawing/2014/chart" uri="{C3380CC4-5D6E-409C-BE32-E72D297353CC}">
              <c16:uniqueId val="{00000005-7662-4BA2-80DC-4AC9B5A018F0}"/>
            </c:ext>
          </c:extLst>
        </c:ser>
        <c:ser>
          <c:idx val="6"/>
          <c:order val="6"/>
          <c:tx>
            <c:strRef>
              <c:f>'U10m drift-fixed nets'!$C$99</c:f>
              <c:strCache>
                <c:ptCount val="1"/>
                <c:pt idx="0">
                  <c:v>Whelks</c:v>
                </c:pt>
              </c:strCache>
            </c:strRef>
          </c:tx>
          <c:spPr>
            <a:solidFill>
              <a:srgbClr val="FED825"/>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nets'!$D$99:$M$99</c:f>
              <c:numCache>
                <c:formatCode>0%</c:formatCode>
                <c:ptCount val="10"/>
                <c:pt idx="1">
                  <c:v>4.2213317283214077E-2</c:v>
                </c:pt>
                <c:pt idx="2">
                  <c:v>5.4279128604824686E-2</c:v>
                </c:pt>
                <c:pt idx="3">
                  <c:v>5.2888457899785579E-2</c:v>
                </c:pt>
                <c:pt idx="5">
                  <c:v>7.7119471138370768E-2</c:v>
                </c:pt>
                <c:pt idx="6">
                  <c:v>8.4307305887467057E-2</c:v>
                </c:pt>
                <c:pt idx="7">
                  <c:v>8.3547301464953441E-2</c:v>
                </c:pt>
              </c:numCache>
            </c:numRef>
          </c:val>
          <c:extLst>
            <c:ext xmlns:c16="http://schemas.microsoft.com/office/drawing/2014/chart" uri="{C3380CC4-5D6E-409C-BE32-E72D297353CC}">
              <c16:uniqueId val="{00000006-7662-4BA2-80DC-4AC9B5A018F0}"/>
            </c:ext>
          </c:extLst>
        </c:ser>
        <c:ser>
          <c:idx val="7"/>
          <c:order val="7"/>
          <c:tx>
            <c:strRef>
              <c:f>'U10m drift-fixed nets'!$C$100</c:f>
              <c:strCache>
                <c:ptCount val="1"/>
                <c:pt idx="0">
                  <c:v>Cockles</c:v>
                </c:pt>
              </c:strCache>
            </c:strRef>
          </c:tx>
          <c:spPr>
            <a:solidFill>
              <a:srgbClr val="707271"/>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nets'!$D$100:$M$100</c:f>
              <c:numCache>
                <c:formatCode>0%</c:formatCode>
                <c:ptCount val="10"/>
                <c:pt idx="7">
                  <c:v>5.772328531618897E-2</c:v>
                </c:pt>
              </c:numCache>
            </c:numRef>
          </c:val>
          <c:extLst>
            <c:ext xmlns:c16="http://schemas.microsoft.com/office/drawing/2014/chart" uri="{C3380CC4-5D6E-409C-BE32-E72D297353CC}">
              <c16:uniqueId val="{00000007-7662-4BA2-80DC-4AC9B5A018F0}"/>
            </c:ext>
          </c:extLst>
        </c:ser>
        <c:ser>
          <c:idx val="8"/>
          <c:order val="8"/>
          <c:tx>
            <c:strRef>
              <c:f>'U10m drift-fixed nets'!$C$101</c:f>
              <c:strCache>
                <c:ptCount val="1"/>
                <c:pt idx="0">
                  <c:v>Cod</c:v>
                </c:pt>
              </c:strCache>
            </c:strRef>
          </c:tx>
          <c:spPr>
            <a:solidFill>
              <a:srgbClr val="51AA81"/>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nets'!$D$101:$M$101</c:f>
              <c:numCache>
                <c:formatCode>0%</c:formatCode>
                <c:ptCount val="10"/>
                <c:pt idx="2">
                  <c:v>4.8004724102963497E-2</c:v>
                </c:pt>
              </c:numCache>
            </c:numRef>
          </c:val>
          <c:extLst>
            <c:ext xmlns:c16="http://schemas.microsoft.com/office/drawing/2014/chart" uri="{C3380CC4-5D6E-409C-BE32-E72D297353CC}">
              <c16:uniqueId val="{00000008-7662-4BA2-80DC-4AC9B5A018F0}"/>
            </c:ext>
          </c:extLst>
        </c:ser>
        <c:ser>
          <c:idx val="9"/>
          <c:order val="9"/>
          <c:tx>
            <c:strRef>
              <c:f>'U10m drift-fixed nets'!$C$102</c:f>
              <c:strCache>
                <c:ptCount val="1"/>
                <c:pt idx="0">
                  <c:v>Brown Crab</c:v>
                </c:pt>
              </c:strCache>
            </c:strRef>
          </c:tx>
          <c:spPr>
            <a:solidFill>
              <a:srgbClr val="169FDB"/>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nets'!$D$102:$M$102</c:f>
              <c:numCache>
                <c:formatCode>0%</c:formatCode>
                <c:ptCount val="10"/>
                <c:pt idx="0">
                  <c:v>4.4650226931498373E-2</c:v>
                </c:pt>
              </c:numCache>
            </c:numRef>
          </c:val>
          <c:extLst>
            <c:ext xmlns:c16="http://schemas.microsoft.com/office/drawing/2014/chart" uri="{C3380CC4-5D6E-409C-BE32-E72D297353CC}">
              <c16:uniqueId val="{00000009-7662-4BA2-80DC-4AC9B5A018F0}"/>
            </c:ext>
          </c:extLst>
        </c:ser>
        <c:ser>
          <c:idx val="10"/>
          <c:order val="10"/>
          <c:tx>
            <c:strRef>
              <c:f>'U10m drift-fixed nets'!$C$103</c:f>
              <c:strCache>
                <c:ptCount val="1"/>
                <c:pt idx="0">
                  <c:v>Others</c:v>
                </c:pt>
              </c:strCache>
            </c:strRef>
          </c:tx>
          <c:spPr>
            <a:solidFill>
              <a:srgbClr val="55585A"/>
            </a:solidFill>
            <a:ln>
              <a:solidFill>
                <a:srgbClr val="FFFFFF"/>
              </a:solidFill>
            </a:ln>
          </c:spPr>
          <c:invertIfNegative val="0"/>
          <c:cat>
            <c:numRef>
              <c:f>'U10m drift-fixed nets'!$D$92:$M$92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drift-fixed nets'!$D$103:$M$103</c:f>
              <c:numCache>
                <c:formatCode>0%</c:formatCode>
                <c:ptCount val="10"/>
                <c:pt idx="0">
                  <c:v>0.38617313721222302</c:v>
                </c:pt>
                <c:pt idx="1">
                  <c:v>0.34466579494221417</c:v>
                </c:pt>
                <c:pt idx="2">
                  <c:v>0.34902556444468774</c:v>
                </c:pt>
                <c:pt idx="3">
                  <c:v>0.41329448956058706</c:v>
                </c:pt>
                <c:pt idx="4">
                  <c:v>0.39704471514470413</c:v>
                </c:pt>
                <c:pt idx="5">
                  <c:v>0.37940066234979536</c:v>
                </c:pt>
                <c:pt idx="6">
                  <c:v>0.39454732207304838</c:v>
                </c:pt>
                <c:pt idx="7">
                  <c:v>0.39397398390766519</c:v>
                </c:pt>
                <c:pt idx="8">
                  <c:v>0.3888228733695851</c:v>
                </c:pt>
                <c:pt idx="9">
                  <c:v>0.38581427974121513</c:v>
                </c:pt>
              </c:numCache>
            </c:numRef>
          </c:val>
          <c:extLst>
            <c:ext xmlns:c16="http://schemas.microsoft.com/office/drawing/2014/chart" uri="{C3380CC4-5D6E-409C-BE32-E72D297353CC}">
              <c16:uniqueId val="{0000000A-7662-4BA2-80DC-4AC9B5A018F0}"/>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u250kW'!$A$77</c:f>
          <c:strCache>
            <c:ptCount val="1"/>
            <c:pt idx="0">
              <c:v>Top 5 landed species by volume in 2021
Area VIIA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70E-452A-A6D3-CD03C88E2979}"/>
              </c:ext>
            </c:extLst>
          </c:dPt>
          <c:dPt>
            <c:idx val="1"/>
            <c:bubble3D val="0"/>
            <c:spPr>
              <a:solidFill>
                <a:srgbClr val="C1D119"/>
              </a:solidFill>
              <a:ln>
                <a:solidFill>
                  <a:srgbClr val="FFFFFF"/>
                </a:solidFill>
              </a:ln>
            </c:spPr>
            <c:extLst>
              <c:ext xmlns:c16="http://schemas.microsoft.com/office/drawing/2014/chart" uri="{C3380CC4-5D6E-409C-BE32-E72D297353CC}">
                <c16:uniqueId val="{00000003-770E-452A-A6D3-CD03C88E2979}"/>
              </c:ext>
            </c:extLst>
          </c:dPt>
          <c:dPt>
            <c:idx val="2"/>
            <c:bubble3D val="0"/>
            <c:spPr>
              <a:solidFill>
                <a:srgbClr val="E87308"/>
              </a:solidFill>
              <a:ln>
                <a:solidFill>
                  <a:srgbClr val="FFFFFF"/>
                </a:solidFill>
              </a:ln>
            </c:spPr>
            <c:extLst>
              <c:ext xmlns:c16="http://schemas.microsoft.com/office/drawing/2014/chart" uri="{C3380CC4-5D6E-409C-BE32-E72D297353CC}">
                <c16:uniqueId val="{00000005-770E-452A-A6D3-CD03C88E2979}"/>
              </c:ext>
            </c:extLst>
          </c:dPt>
          <c:dPt>
            <c:idx val="3"/>
            <c:bubble3D val="0"/>
            <c:spPr>
              <a:solidFill>
                <a:srgbClr val="648C2E"/>
              </a:solidFill>
              <a:ln>
                <a:solidFill>
                  <a:srgbClr val="FFFFFF"/>
                </a:solidFill>
              </a:ln>
            </c:spPr>
            <c:extLst>
              <c:ext xmlns:c16="http://schemas.microsoft.com/office/drawing/2014/chart" uri="{C3380CC4-5D6E-409C-BE32-E72D297353CC}">
                <c16:uniqueId val="{00000007-770E-452A-A6D3-CD03C88E2979}"/>
              </c:ext>
            </c:extLst>
          </c:dPt>
          <c:dPt>
            <c:idx val="4"/>
            <c:bubble3D val="0"/>
            <c:spPr>
              <a:solidFill>
                <a:srgbClr val="0F9AA9"/>
              </a:solidFill>
              <a:ln>
                <a:solidFill>
                  <a:srgbClr val="FFFFFF"/>
                </a:solidFill>
              </a:ln>
            </c:spPr>
            <c:extLst>
              <c:ext xmlns:c16="http://schemas.microsoft.com/office/drawing/2014/chart" uri="{C3380CC4-5D6E-409C-BE32-E72D297353CC}">
                <c16:uniqueId val="{00000009-770E-452A-A6D3-CD03C88E2979}"/>
              </c:ext>
            </c:extLst>
          </c:dPt>
          <c:dPt>
            <c:idx val="5"/>
            <c:bubble3D val="0"/>
            <c:spPr>
              <a:solidFill>
                <a:srgbClr val="55585A"/>
              </a:solidFill>
              <a:ln>
                <a:solidFill>
                  <a:srgbClr val="FFFFFF"/>
                </a:solidFill>
              </a:ln>
            </c:spPr>
            <c:extLst>
              <c:ext xmlns:c16="http://schemas.microsoft.com/office/drawing/2014/chart" uri="{C3380CC4-5D6E-409C-BE32-E72D297353CC}">
                <c16:uniqueId val="{0000000B-770E-452A-A6D3-CD03C88E2979}"/>
              </c:ext>
            </c:extLst>
          </c:dPt>
          <c:cat>
            <c:strRef>
              <c:f>'Area VIIa nephrops u250kW'!$B$78:$B$83</c:f>
              <c:strCache>
                <c:ptCount val="6"/>
                <c:pt idx="0">
                  <c:v>Nephrops - 81.3%</c:v>
                </c:pt>
                <c:pt idx="1">
                  <c:v>Les. Spot. Dog - 5.6%</c:v>
                </c:pt>
                <c:pt idx="2">
                  <c:v>Scallops - 5.5%</c:v>
                </c:pt>
                <c:pt idx="3">
                  <c:v>Anglerfish - 1.6%</c:v>
                </c:pt>
                <c:pt idx="4">
                  <c:v>Haddock - 1.4%</c:v>
                </c:pt>
                <c:pt idx="5">
                  <c:v>Others - 4.6%</c:v>
                </c:pt>
              </c:strCache>
            </c:strRef>
          </c:cat>
          <c:val>
            <c:numRef>
              <c:f>'Area VIIa nephrops u250kW'!$C$78:$C$83</c:f>
              <c:numCache>
                <c:formatCode>0.0%</c:formatCode>
                <c:ptCount val="6"/>
                <c:pt idx="0">
                  <c:v>0.81273365931663832</c:v>
                </c:pt>
                <c:pt idx="1">
                  <c:v>5.6074676742212518E-2</c:v>
                </c:pt>
                <c:pt idx="2">
                  <c:v>5.4881225525449176E-2</c:v>
                </c:pt>
                <c:pt idx="3">
                  <c:v>1.5918550683889657E-2</c:v>
                </c:pt>
                <c:pt idx="4">
                  <c:v>1.4429898820802643E-2</c:v>
                </c:pt>
                <c:pt idx="5">
                  <c:v>4.5961988911007667E-2</c:v>
                </c:pt>
              </c:numCache>
            </c:numRef>
          </c:val>
          <c:extLst>
            <c:ext xmlns:c16="http://schemas.microsoft.com/office/drawing/2014/chart" uri="{C3380CC4-5D6E-409C-BE32-E72D297353CC}">
              <c16:uniqueId val="{0000000C-770E-452A-A6D3-CD03C88E297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drift-fixed nets'!$B$163</c:f>
              <c:strCache>
                <c:ptCount val="1"/>
                <c:pt idx="0">
                  <c:v>Pilchards</c:v>
                </c:pt>
              </c:strCache>
            </c:strRef>
          </c:tx>
          <c:spPr>
            <a:solidFill>
              <a:srgbClr val="FED825"/>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nets'!$C$163:$E$163</c:f>
              <c:numCache>
                <c:formatCode>0%</c:formatCode>
                <c:ptCount val="3"/>
                <c:pt idx="0">
                  <c:v>0</c:v>
                </c:pt>
                <c:pt idx="1">
                  <c:v>0.19734885023787016</c:v>
                </c:pt>
                <c:pt idx="2">
                  <c:v>0</c:v>
                </c:pt>
              </c:numCache>
            </c:numRef>
          </c:val>
          <c:extLst>
            <c:ext xmlns:c16="http://schemas.microsoft.com/office/drawing/2014/chart" uri="{C3380CC4-5D6E-409C-BE32-E72D297353CC}">
              <c16:uniqueId val="{00000000-04E2-4C83-B618-CC8ABCA7FB8F}"/>
            </c:ext>
          </c:extLst>
        </c:ser>
        <c:ser>
          <c:idx val="1"/>
          <c:order val="1"/>
          <c:tx>
            <c:strRef>
              <c:f>'U10m drift-fixed nets'!$B$164</c:f>
              <c:strCache>
                <c:ptCount val="1"/>
                <c:pt idx="0">
                  <c:v>Scallops</c:v>
                </c:pt>
              </c:strCache>
            </c:strRef>
          </c:tx>
          <c:spPr>
            <a:solidFill>
              <a:srgbClr val="51AA81"/>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nets'!$C$164:$E$164</c:f>
              <c:numCache>
                <c:formatCode>0%</c:formatCode>
                <c:ptCount val="3"/>
                <c:pt idx="0">
                  <c:v>0</c:v>
                </c:pt>
                <c:pt idx="1">
                  <c:v>0.10901526763587659</c:v>
                </c:pt>
                <c:pt idx="2">
                  <c:v>0</c:v>
                </c:pt>
              </c:numCache>
            </c:numRef>
          </c:val>
          <c:extLst>
            <c:ext xmlns:c16="http://schemas.microsoft.com/office/drawing/2014/chart" uri="{C3380CC4-5D6E-409C-BE32-E72D297353CC}">
              <c16:uniqueId val="{00000001-04E2-4C83-B618-CC8ABCA7FB8F}"/>
            </c:ext>
          </c:extLst>
        </c:ser>
        <c:ser>
          <c:idx val="2"/>
          <c:order val="2"/>
          <c:tx>
            <c:strRef>
              <c:f>'U10m drift-fixed nets'!$B$165</c:f>
              <c:strCache>
                <c:ptCount val="1"/>
                <c:pt idx="0">
                  <c:v>Whelks</c:v>
                </c:pt>
              </c:strCache>
            </c:strRef>
          </c:tx>
          <c:spPr>
            <a:solidFill>
              <a:srgbClr val="0F9AA9"/>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nets'!$C$165:$E$165</c:f>
              <c:numCache>
                <c:formatCode>0%</c:formatCode>
                <c:ptCount val="3"/>
                <c:pt idx="0">
                  <c:v>7.9694857852617887E-2</c:v>
                </c:pt>
                <c:pt idx="1">
                  <c:v>9.3933659342381029E-2</c:v>
                </c:pt>
                <c:pt idx="2">
                  <c:v>0.17782986197678816</c:v>
                </c:pt>
              </c:numCache>
            </c:numRef>
          </c:val>
          <c:extLst>
            <c:ext xmlns:c16="http://schemas.microsoft.com/office/drawing/2014/chart" uri="{C3380CC4-5D6E-409C-BE32-E72D297353CC}">
              <c16:uniqueId val="{00000002-04E2-4C83-B618-CC8ABCA7FB8F}"/>
            </c:ext>
          </c:extLst>
        </c:ser>
        <c:ser>
          <c:idx val="3"/>
          <c:order val="3"/>
          <c:tx>
            <c:strRef>
              <c:f>'U10m drift-fixed nets'!$B$166</c:f>
              <c:strCache>
                <c:ptCount val="1"/>
                <c:pt idx="0">
                  <c:v>Pollack</c:v>
                </c:pt>
              </c:strCache>
            </c:strRef>
          </c:tx>
          <c:spPr>
            <a:solidFill>
              <a:srgbClr val="648C2E"/>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nets'!$C$166:$E$166</c:f>
              <c:numCache>
                <c:formatCode>0%</c:formatCode>
                <c:ptCount val="3"/>
                <c:pt idx="0">
                  <c:v>0.23350760228861825</c:v>
                </c:pt>
                <c:pt idx="1">
                  <c:v>8.9095547597796379E-2</c:v>
                </c:pt>
                <c:pt idx="2">
                  <c:v>0</c:v>
                </c:pt>
              </c:numCache>
            </c:numRef>
          </c:val>
          <c:extLst>
            <c:ext xmlns:c16="http://schemas.microsoft.com/office/drawing/2014/chart" uri="{C3380CC4-5D6E-409C-BE32-E72D297353CC}">
              <c16:uniqueId val="{00000003-04E2-4C83-B618-CC8ABCA7FB8F}"/>
            </c:ext>
          </c:extLst>
        </c:ser>
        <c:ser>
          <c:idx val="4"/>
          <c:order val="4"/>
          <c:tx>
            <c:strRef>
              <c:f>'U10m drift-fixed nets'!$B$167</c:f>
              <c:strCache>
                <c:ptCount val="1"/>
                <c:pt idx="0">
                  <c:v>Sole</c:v>
                </c:pt>
              </c:strCache>
            </c:strRef>
          </c:tx>
          <c:spPr>
            <a:solidFill>
              <a:srgbClr val="2273B9"/>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nets'!$C$167:$E$167</c:f>
              <c:numCache>
                <c:formatCode>0%</c:formatCode>
                <c:ptCount val="3"/>
                <c:pt idx="0">
                  <c:v>7.2154559007428606E-2</c:v>
                </c:pt>
                <c:pt idx="1">
                  <c:v>8.5557027038995148E-2</c:v>
                </c:pt>
                <c:pt idx="2">
                  <c:v>0.11747280034247366</c:v>
                </c:pt>
              </c:numCache>
            </c:numRef>
          </c:val>
          <c:extLst>
            <c:ext xmlns:c16="http://schemas.microsoft.com/office/drawing/2014/chart" uri="{C3380CC4-5D6E-409C-BE32-E72D297353CC}">
              <c16:uniqueId val="{00000004-04E2-4C83-B618-CC8ABCA7FB8F}"/>
            </c:ext>
          </c:extLst>
        </c:ser>
        <c:ser>
          <c:idx val="5"/>
          <c:order val="5"/>
          <c:tx>
            <c:strRef>
              <c:f>'U10m drift-fixed nets'!$B$168</c:f>
              <c:strCache>
                <c:ptCount val="1"/>
                <c:pt idx="0">
                  <c:v>Thornback Ray</c:v>
                </c:pt>
              </c:strCache>
            </c:strRef>
          </c:tx>
          <c:spPr>
            <a:solidFill>
              <a:srgbClr val="E40D2C"/>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nets'!$C$168:$E$168</c:f>
              <c:numCache>
                <c:formatCode>0%</c:formatCode>
                <c:ptCount val="3"/>
                <c:pt idx="0">
                  <c:v>0</c:v>
                </c:pt>
                <c:pt idx="1">
                  <c:v>0</c:v>
                </c:pt>
                <c:pt idx="2">
                  <c:v>0.12046983258194253</c:v>
                </c:pt>
              </c:numCache>
            </c:numRef>
          </c:val>
          <c:extLst>
            <c:ext xmlns:c16="http://schemas.microsoft.com/office/drawing/2014/chart" uri="{C3380CC4-5D6E-409C-BE32-E72D297353CC}">
              <c16:uniqueId val="{00000005-04E2-4C83-B618-CC8ABCA7FB8F}"/>
            </c:ext>
          </c:extLst>
        </c:ser>
        <c:ser>
          <c:idx val="6"/>
          <c:order val="6"/>
          <c:tx>
            <c:strRef>
              <c:f>'U10m drift-fixed nets'!$B$169</c:f>
              <c:strCache>
                <c:ptCount val="1"/>
                <c:pt idx="0">
                  <c:v>Plaice</c:v>
                </c:pt>
              </c:strCache>
            </c:strRef>
          </c:tx>
          <c:spPr>
            <a:solidFill>
              <a:srgbClr val="B4C3E5"/>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nets'!$C$169:$E$169</c:f>
              <c:numCache>
                <c:formatCode>0%</c:formatCode>
                <c:ptCount val="3"/>
                <c:pt idx="0">
                  <c:v>0</c:v>
                </c:pt>
                <c:pt idx="1">
                  <c:v>0</c:v>
                </c:pt>
                <c:pt idx="2">
                  <c:v>0.1033946668482815</c:v>
                </c:pt>
              </c:numCache>
            </c:numRef>
          </c:val>
          <c:extLst>
            <c:ext xmlns:c16="http://schemas.microsoft.com/office/drawing/2014/chart" uri="{C3380CC4-5D6E-409C-BE32-E72D297353CC}">
              <c16:uniqueId val="{00000006-04E2-4C83-B618-CC8ABCA7FB8F}"/>
            </c:ext>
          </c:extLst>
        </c:ser>
        <c:ser>
          <c:idx val="7"/>
          <c:order val="7"/>
          <c:tx>
            <c:strRef>
              <c:f>'U10m drift-fixed nets'!$B$170</c:f>
              <c:strCache>
                <c:ptCount val="1"/>
                <c:pt idx="0">
                  <c:v>Herring</c:v>
                </c:pt>
              </c:strCache>
            </c:strRef>
          </c:tx>
          <c:spPr>
            <a:solidFill>
              <a:srgbClr val="F8CBA1"/>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nets'!$C$170:$E$170</c:f>
              <c:numCache>
                <c:formatCode>0%</c:formatCode>
                <c:ptCount val="3"/>
                <c:pt idx="0">
                  <c:v>0</c:v>
                </c:pt>
                <c:pt idx="1">
                  <c:v>0</c:v>
                </c:pt>
                <c:pt idx="2">
                  <c:v>6.210156347863735E-2</c:v>
                </c:pt>
              </c:numCache>
            </c:numRef>
          </c:val>
          <c:extLst>
            <c:ext xmlns:c16="http://schemas.microsoft.com/office/drawing/2014/chart" uri="{C3380CC4-5D6E-409C-BE32-E72D297353CC}">
              <c16:uniqueId val="{00000007-04E2-4C83-B618-CC8ABCA7FB8F}"/>
            </c:ext>
          </c:extLst>
        </c:ser>
        <c:ser>
          <c:idx val="8"/>
          <c:order val="8"/>
          <c:tx>
            <c:strRef>
              <c:f>'U10m drift-fixed nets'!$B$171</c:f>
              <c:strCache>
                <c:ptCount val="1"/>
                <c:pt idx="0">
                  <c:v>Cockles</c:v>
                </c:pt>
              </c:strCache>
            </c:strRef>
          </c:tx>
          <c:spPr>
            <a:solidFill>
              <a:srgbClr val="707271"/>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nets'!$C$171:$E$171</c:f>
              <c:numCache>
                <c:formatCode>0%</c:formatCode>
                <c:ptCount val="3"/>
                <c:pt idx="0">
                  <c:v>0.1481633361778463</c:v>
                </c:pt>
                <c:pt idx="1">
                  <c:v>0</c:v>
                </c:pt>
                <c:pt idx="2">
                  <c:v>0</c:v>
                </c:pt>
              </c:numCache>
            </c:numRef>
          </c:val>
          <c:extLst>
            <c:ext xmlns:c16="http://schemas.microsoft.com/office/drawing/2014/chart" uri="{C3380CC4-5D6E-409C-BE32-E72D297353CC}">
              <c16:uniqueId val="{00000008-04E2-4C83-B618-CC8ABCA7FB8F}"/>
            </c:ext>
          </c:extLst>
        </c:ser>
        <c:ser>
          <c:idx val="9"/>
          <c:order val="9"/>
          <c:tx>
            <c:strRef>
              <c:f>'U10m drift-fixed nets'!$B$172</c:f>
              <c:strCache>
                <c:ptCount val="1"/>
                <c:pt idx="0">
                  <c:v>Bass</c:v>
                </c:pt>
              </c:strCache>
            </c:strRef>
          </c:tx>
          <c:spPr>
            <a:solidFill>
              <a:srgbClr val="E87308"/>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nets'!$C$172:$E$172</c:f>
              <c:numCache>
                <c:formatCode>0%</c:formatCode>
                <c:ptCount val="3"/>
                <c:pt idx="0">
                  <c:v>6.9134742164710175E-2</c:v>
                </c:pt>
                <c:pt idx="1">
                  <c:v>0</c:v>
                </c:pt>
                <c:pt idx="2">
                  <c:v>0</c:v>
                </c:pt>
              </c:numCache>
            </c:numRef>
          </c:val>
          <c:extLst>
            <c:ext xmlns:c16="http://schemas.microsoft.com/office/drawing/2014/chart" uri="{C3380CC4-5D6E-409C-BE32-E72D297353CC}">
              <c16:uniqueId val="{00000009-04E2-4C83-B618-CC8ABCA7FB8F}"/>
            </c:ext>
          </c:extLst>
        </c:ser>
        <c:ser>
          <c:idx val="10"/>
          <c:order val="10"/>
          <c:tx>
            <c:strRef>
              <c:f>'U10m drift-fixed nets'!$B$173</c:f>
              <c:strCache>
                <c:ptCount val="1"/>
                <c:pt idx="0">
                  <c:v>Others</c:v>
                </c:pt>
              </c:strCache>
            </c:strRef>
          </c:tx>
          <c:spPr>
            <a:solidFill>
              <a:srgbClr val="55585A"/>
            </a:solidFill>
            <a:ln>
              <a:solidFill>
                <a:srgbClr val="FFFFFF"/>
              </a:solidFill>
            </a:ln>
          </c:spPr>
          <c:invertIfNegative val="0"/>
          <c:cat>
            <c:strRef>
              <c:f>'U10m drift-fixed nets'!$C$162:$E$162</c:f>
              <c:strCache>
                <c:ptCount val="3"/>
                <c:pt idx="0">
                  <c:v>Most
profitable
quartile</c:v>
                </c:pt>
                <c:pt idx="1">
                  <c:v>Middle 
two quartiles</c:v>
                </c:pt>
                <c:pt idx="2">
                  <c:v>Least
profitable
quartile</c:v>
                </c:pt>
              </c:strCache>
            </c:strRef>
          </c:cat>
          <c:val>
            <c:numRef>
              <c:f>'U10m drift-fixed nets'!$C$173:$E$173</c:f>
              <c:numCache>
                <c:formatCode>0%</c:formatCode>
                <c:ptCount val="3"/>
                <c:pt idx="0">
                  <c:v>0.39734490250877885</c:v>
                </c:pt>
                <c:pt idx="1">
                  <c:v>0.42504964814708068</c:v>
                </c:pt>
                <c:pt idx="2">
                  <c:v>0.41873127477187677</c:v>
                </c:pt>
              </c:numCache>
            </c:numRef>
          </c:val>
          <c:extLst>
            <c:ext xmlns:c16="http://schemas.microsoft.com/office/drawing/2014/chart" uri="{C3380CC4-5D6E-409C-BE32-E72D297353CC}">
              <c16:uniqueId val="{0000000A-04E2-4C83-B618-CC8ABCA7FB8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drift-fixed nets'!$H$163</c:f>
              <c:strCache>
                <c:ptCount val="1"/>
                <c:pt idx="0">
                  <c:v>Sole</c:v>
                </c:pt>
              </c:strCache>
            </c:strRef>
          </c:tx>
          <c:spPr>
            <a:solidFill>
              <a:srgbClr val="2273B9"/>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nets'!$I$163:$K$163</c:f>
              <c:numCache>
                <c:formatCode>0%</c:formatCode>
                <c:ptCount val="3"/>
                <c:pt idx="0">
                  <c:v>0.25975224698773552</c:v>
                </c:pt>
                <c:pt idx="1">
                  <c:v>0.32252785788691229</c:v>
                </c:pt>
                <c:pt idx="2">
                  <c:v>0.31851702797581771</c:v>
                </c:pt>
              </c:numCache>
            </c:numRef>
          </c:val>
          <c:extLst>
            <c:ext xmlns:c16="http://schemas.microsoft.com/office/drawing/2014/chart" uri="{C3380CC4-5D6E-409C-BE32-E72D297353CC}">
              <c16:uniqueId val="{00000000-3AFF-4859-A20B-1539CB66CC4D}"/>
            </c:ext>
          </c:extLst>
        </c:ser>
        <c:ser>
          <c:idx val="1"/>
          <c:order val="1"/>
          <c:tx>
            <c:strRef>
              <c:f>'U10m drift-fixed nets'!$H$164</c:f>
              <c:strCache>
                <c:ptCount val="1"/>
                <c:pt idx="0">
                  <c:v>Bass</c:v>
                </c:pt>
              </c:strCache>
            </c:strRef>
          </c:tx>
          <c:spPr>
            <a:solidFill>
              <a:srgbClr val="E87308"/>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nets'!$I$164:$K$164</c:f>
              <c:numCache>
                <c:formatCode>0%</c:formatCode>
                <c:ptCount val="3"/>
                <c:pt idx="0">
                  <c:v>0.13173952415546458</c:v>
                </c:pt>
                <c:pt idx="1">
                  <c:v>0.20129730889240738</c:v>
                </c:pt>
                <c:pt idx="2">
                  <c:v>0.14013129857400425</c:v>
                </c:pt>
              </c:numCache>
            </c:numRef>
          </c:val>
          <c:extLst>
            <c:ext xmlns:c16="http://schemas.microsoft.com/office/drawing/2014/chart" uri="{C3380CC4-5D6E-409C-BE32-E72D297353CC}">
              <c16:uniqueId val="{00000001-3AFF-4859-A20B-1539CB66CC4D}"/>
            </c:ext>
          </c:extLst>
        </c:ser>
        <c:ser>
          <c:idx val="2"/>
          <c:order val="2"/>
          <c:tx>
            <c:strRef>
              <c:f>'U10m drift-fixed nets'!$H$165</c:f>
              <c:strCache>
                <c:ptCount val="1"/>
                <c:pt idx="0">
                  <c:v>Pollack</c:v>
                </c:pt>
              </c:strCache>
            </c:strRef>
          </c:tx>
          <c:spPr>
            <a:solidFill>
              <a:srgbClr val="648C2E"/>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nets'!$I$165:$K$165</c:f>
              <c:numCache>
                <c:formatCode>0%</c:formatCode>
                <c:ptCount val="3"/>
                <c:pt idx="0">
                  <c:v>0.13337823030736343</c:v>
                </c:pt>
                <c:pt idx="1">
                  <c:v>8.0268637544367236E-2</c:v>
                </c:pt>
                <c:pt idx="2">
                  <c:v>5.5750665402867834E-2</c:v>
                </c:pt>
              </c:numCache>
            </c:numRef>
          </c:val>
          <c:extLst>
            <c:ext xmlns:c16="http://schemas.microsoft.com/office/drawing/2014/chart" uri="{C3380CC4-5D6E-409C-BE32-E72D297353CC}">
              <c16:uniqueId val="{00000002-3AFF-4859-A20B-1539CB66CC4D}"/>
            </c:ext>
          </c:extLst>
        </c:ser>
        <c:ser>
          <c:idx val="3"/>
          <c:order val="3"/>
          <c:tx>
            <c:strRef>
              <c:f>'U10m drift-fixed nets'!$H$166</c:f>
              <c:strCache>
                <c:ptCount val="1"/>
                <c:pt idx="0">
                  <c:v>Anglerfish</c:v>
                </c:pt>
              </c:strCache>
            </c:strRef>
          </c:tx>
          <c:spPr>
            <a:solidFill>
              <a:srgbClr val="E84A38"/>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nets'!$I$166:$K$166</c:f>
              <c:numCache>
                <c:formatCode>0%</c:formatCode>
                <c:ptCount val="3"/>
                <c:pt idx="0">
                  <c:v>0</c:v>
                </c:pt>
                <c:pt idx="1">
                  <c:v>7.1503202770641261E-2</c:v>
                </c:pt>
                <c:pt idx="2">
                  <c:v>0</c:v>
                </c:pt>
              </c:numCache>
            </c:numRef>
          </c:val>
          <c:extLst>
            <c:ext xmlns:c16="http://schemas.microsoft.com/office/drawing/2014/chart" uri="{C3380CC4-5D6E-409C-BE32-E72D297353CC}">
              <c16:uniqueId val="{00000003-3AFF-4859-A20B-1539CB66CC4D}"/>
            </c:ext>
          </c:extLst>
        </c:ser>
        <c:ser>
          <c:idx val="4"/>
          <c:order val="4"/>
          <c:tx>
            <c:strRef>
              <c:f>'U10m drift-fixed nets'!$H$167</c:f>
              <c:strCache>
                <c:ptCount val="1"/>
                <c:pt idx="0">
                  <c:v>Lobsters</c:v>
                </c:pt>
              </c:strCache>
            </c:strRef>
          </c:tx>
          <c:spPr>
            <a:solidFill>
              <a:srgbClr val="169FDB"/>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nets'!$I$167:$K$167</c:f>
              <c:numCache>
                <c:formatCode>0%</c:formatCode>
                <c:ptCount val="3"/>
                <c:pt idx="0">
                  <c:v>0</c:v>
                </c:pt>
                <c:pt idx="1">
                  <c:v>6.4362434660496973E-2</c:v>
                </c:pt>
                <c:pt idx="2">
                  <c:v>0</c:v>
                </c:pt>
              </c:numCache>
            </c:numRef>
          </c:val>
          <c:extLst>
            <c:ext xmlns:c16="http://schemas.microsoft.com/office/drawing/2014/chart" uri="{C3380CC4-5D6E-409C-BE32-E72D297353CC}">
              <c16:uniqueId val="{00000004-3AFF-4859-A20B-1539CB66CC4D}"/>
            </c:ext>
          </c:extLst>
        </c:ser>
        <c:ser>
          <c:idx val="5"/>
          <c:order val="5"/>
          <c:tx>
            <c:strRef>
              <c:f>'U10m drift-fixed nets'!$H$168</c:f>
              <c:strCache>
                <c:ptCount val="1"/>
                <c:pt idx="0">
                  <c:v>Whelks</c:v>
                </c:pt>
              </c:strCache>
            </c:strRef>
          </c:tx>
          <c:spPr>
            <a:solidFill>
              <a:srgbClr val="0F9AA9"/>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nets'!$I$168:$K$168</c:f>
              <c:numCache>
                <c:formatCode>0%</c:formatCode>
                <c:ptCount val="3"/>
                <c:pt idx="0">
                  <c:v>0</c:v>
                </c:pt>
                <c:pt idx="1">
                  <c:v>0</c:v>
                </c:pt>
                <c:pt idx="2">
                  <c:v>7.5959756877465048E-2</c:v>
                </c:pt>
              </c:numCache>
            </c:numRef>
          </c:val>
          <c:extLst>
            <c:ext xmlns:c16="http://schemas.microsoft.com/office/drawing/2014/chart" uri="{C3380CC4-5D6E-409C-BE32-E72D297353CC}">
              <c16:uniqueId val="{00000005-3AFF-4859-A20B-1539CB66CC4D}"/>
            </c:ext>
          </c:extLst>
        </c:ser>
        <c:ser>
          <c:idx val="6"/>
          <c:order val="6"/>
          <c:tx>
            <c:strRef>
              <c:f>'U10m drift-fixed nets'!$H$169</c:f>
              <c:strCache>
                <c:ptCount val="1"/>
                <c:pt idx="0">
                  <c:v>Thornback Ray</c:v>
                </c:pt>
              </c:strCache>
            </c:strRef>
          </c:tx>
          <c:spPr>
            <a:solidFill>
              <a:srgbClr val="E40D2C"/>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nets'!$I$169:$K$169</c:f>
              <c:numCache>
                <c:formatCode>0%</c:formatCode>
                <c:ptCount val="3"/>
                <c:pt idx="0">
                  <c:v>0</c:v>
                </c:pt>
                <c:pt idx="1">
                  <c:v>0</c:v>
                </c:pt>
                <c:pt idx="2">
                  <c:v>5.2095394501124742E-2</c:v>
                </c:pt>
              </c:numCache>
            </c:numRef>
          </c:val>
          <c:extLst>
            <c:ext xmlns:c16="http://schemas.microsoft.com/office/drawing/2014/chart" uri="{C3380CC4-5D6E-409C-BE32-E72D297353CC}">
              <c16:uniqueId val="{00000006-3AFF-4859-A20B-1539CB66CC4D}"/>
            </c:ext>
          </c:extLst>
        </c:ser>
        <c:ser>
          <c:idx val="7"/>
          <c:order val="7"/>
          <c:tx>
            <c:strRef>
              <c:f>'U10m drift-fixed nets'!$H$170</c:f>
              <c:strCache>
                <c:ptCount val="1"/>
                <c:pt idx="0">
                  <c:v>Turbot</c:v>
                </c:pt>
              </c:strCache>
            </c:strRef>
          </c:tx>
          <c:spPr>
            <a:solidFill>
              <a:srgbClr val="C1D119"/>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nets'!$I$170:$K$170</c:f>
              <c:numCache>
                <c:formatCode>0%</c:formatCode>
                <c:ptCount val="3"/>
                <c:pt idx="0">
                  <c:v>0.10273340194160616</c:v>
                </c:pt>
                <c:pt idx="1">
                  <c:v>0</c:v>
                </c:pt>
                <c:pt idx="2">
                  <c:v>0</c:v>
                </c:pt>
              </c:numCache>
            </c:numRef>
          </c:val>
          <c:extLst>
            <c:ext xmlns:c16="http://schemas.microsoft.com/office/drawing/2014/chart" uri="{C3380CC4-5D6E-409C-BE32-E72D297353CC}">
              <c16:uniqueId val="{00000007-3AFF-4859-A20B-1539CB66CC4D}"/>
            </c:ext>
          </c:extLst>
        </c:ser>
        <c:ser>
          <c:idx val="8"/>
          <c:order val="8"/>
          <c:tx>
            <c:strRef>
              <c:f>'U10m drift-fixed nets'!$H$171</c:f>
              <c:strCache>
                <c:ptCount val="1"/>
                <c:pt idx="0">
                  <c:v>Crawfish</c:v>
                </c:pt>
              </c:strCache>
            </c:strRef>
          </c:tx>
          <c:spPr>
            <a:solidFill>
              <a:srgbClr val="C5CDA6"/>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nets'!$I$171:$K$171</c:f>
              <c:numCache>
                <c:formatCode>0%</c:formatCode>
                <c:ptCount val="3"/>
                <c:pt idx="0">
                  <c:v>7.0564927556673665E-2</c:v>
                </c:pt>
                <c:pt idx="1">
                  <c:v>0</c:v>
                </c:pt>
                <c:pt idx="2">
                  <c:v>0</c:v>
                </c:pt>
              </c:numCache>
            </c:numRef>
          </c:val>
          <c:extLst>
            <c:ext xmlns:c16="http://schemas.microsoft.com/office/drawing/2014/chart" uri="{C3380CC4-5D6E-409C-BE32-E72D297353CC}">
              <c16:uniqueId val="{00000008-3AFF-4859-A20B-1539CB66CC4D}"/>
            </c:ext>
          </c:extLst>
        </c:ser>
        <c:ser>
          <c:idx val="9"/>
          <c:order val="9"/>
          <c:tx>
            <c:strRef>
              <c:f>'U10m drift-fixed nets'!$H$172</c:f>
              <c:strCache>
                <c:ptCount val="1"/>
                <c:pt idx="0">
                  <c:v>Others</c:v>
                </c:pt>
              </c:strCache>
            </c:strRef>
          </c:tx>
          <c:spPr>
            <a:solidFill>
              <a:srgbClr val="55585A"/>
            </a:solidFill>
            <a:ln>
              <a:solidFill>
                <a:srgbClr val="FFFFFF"/>
              </a:solidFill>
            </a:ln>
          </c:spPr>
          <c:invertIfNegative val="0"/>
          <c:cat>
            <c:strRef>
              <c:f>'U10m drift-fixed nets'!$I$162:$K$162</c:f>
              <c:strCache>
                <c:ptCount val="3"/>
                <c:pt idx="0">
                  <c:v>Most
profitable
quartile</c:v>
                </c:pt>
                <c:pt idx="1">
                  <c:v>Middle 
two quartiles</c:v>
                </c:pt>
                <c:pt idx="2">
                  <c:v>Least
profitable
quartile</c:v>
                </c:pt>
              </c:strCache>
            </c:strRef>
          </c:cat>
          <c:val>
            <c:numRef>
              <c:f>'U10m drift-fixed nets'!$I$172:$K$172</c:f>
              <c:numCache>
                <c:formatCode>0%</c:formatCode>
                <c:ptCount val="3"/>
                <c:pt idx="0">
                  <c:v>0.30183166905115655</c:v>
                </c:pt>
                <c:pt idx="1">
                  <c:v>0.26004055824517491</c:v>
                </c:pt>
                <c:pt idx="2">
                  <c:v>0.3575458566687203</c:v>
                </c:pt>
              </c:numCache>
            </c:numRef>
          </c:val>
          <c:extLst>
            <c:ext xmlns:c16="http://schemas.microsoft.com/office/drawing/2014/chart" uri="{C3380CC4-5D6E-409C-BE32-E72D297353CC}">
              <c16:uniqueId val="{00000009-3AFF-4859-A20B-1539CB66CC4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drift-fixed nets'!$K$140</c:f>
              <c:strCache>
                <c:ptCount val="1"/>
                <c:pt idx="0">
                  <c:v>Total income</c:v>
                </c:pt>
              </c:strCache>
            </c:strRef>
          </c:tx>
          <c:spPr>
            <a:solidFill>
              <a:srgbClr val="087CBB"/>
            </a:solidFill>
            <a:ln>
              <a:solidFill>
                <a:schemeClr val="accent1"/>
              </a:solidFill>
            </a:ln>
          </c:spPr>
          <c:invertIfNegative val="0"/>
          <c:cat>
            <c:strRef>
              <c:f>'U10m drift-fixed nets'!$L$139:$N$139</c:f>
              <c:strCache>
                <c:ptCount val="3"/>
                <c:pt idx="0">
                  <c:v>Most
profitable
quartile</c:v>
                </c:pt>
                <c:pt idx="1">
                  <c:v>Middle
two quartiles</c:v>
                </c:pt>
                <c:pt idx="2">
                  <c:v>Least
profitable
quartile</c:v>
                </c:pt>
              </c:strCache>
            </c:strRef>
          </c:cat>
          <c:val>
            <c:numRef>
              <c:f>'U10m drift-fixed nets'!$L$140:$N$140</c:f>
              <c:numCache>
                <c:formatCode>#,##0</c:formatCode>
                <c:ptCount val="3"/>
                <c:pt idx="0">
                  <c:v>65.5984921875</c:v>
                </c:pt>
                <c:pt idx="1">
                  <c:v>36.698627604166703</c:v>
                </c:pt>
                <c:pt idx="2">
                  <c:v>30.304408203125</c:v>
                </c:pt>
              </c:numCache>
            </c:numRef>
          </c:val>
          <c:extLst>
            <c:ext xmlns:c16="http://schemas.microsoft.com/office/drawing/2014/chart" uri="{C3380CC4-5D6E-409C-BE32-E72D297353CC}">
              <c16:uniqueId val="{00000000-39FF-4E1D-9442-B0B317B4C23C}"/>
            </c:ext>
          </c:extLst>
        </c:ser>
        <c:ser>
          <c:idx val="1"/>
          <c:order val="1"/>
          <c:tx>
            <c:strRef>
              <c:f>'U10m drift-fixed nets'!$K$141</c:f>
              <c:strCache>
                <c:ptCount val="1"/>
                <c:pt idx="0">
                  <c:v>Operating costs</c:v>
                </c:pt>
              </c:strCache>
            </c:strRef>
          </c:tx>
          <c:spPr>
            <a:solidFill>
              <a:srgbClr val="E87308"/>
            </a:solidFill>
          </c:spPr>
          <c:invertIfNegative val="0"/>
          <c:cat>
            <c:strRef>
              <c:f>'U10m drift-fixed nets'!$L$139:$N$139</c:f>
              <c:strCache>
                <c:ptCount val="3"/>
                <c:pt idx="0">
                  <c:v>Most
profitable
quartile</c:v>
                </c:pt>
                <c:pt idx="1">
                  <c:v>Middle
two quartiles</c:v>
                </c:pt>
                <c:pt idx="2">
                  <c:v>Least
profitable
quartile</c:v>
                </c:pt>
              </c:strCache>
            </c:strRef>
          </c:cat>
          <c:val>
            <c:numRef>
              <c:f>'U10m drift-fixed nets'!$L$141:$N$141</c:f>
              <c:numCache>
                <c:formatCode>#,##0</c:formatCode>
                <c:ptCount val="3"/>
                <c:pt idx="0">
                  <c:v>40.286234374999999</c:v>
                </c:pt>
                <c:pt idx="1">
                  <c:v>24.769653783933101</c:v>
                </c:pt>
                <c:pt idx="2">
                  <c:v>23.232060546875001</c:v>
                </c:pt>
              </c:numCache>
            </c:numRef>
          </c:val>
          <c:extLst>
            <c:ext xmlns:c16="http://schemas.microsoft.com/office/drawing/2014/chart" uri="{C3380CC4-5D6E-409C-BE32-E72D297353CC}">
              <c16:uniqueId val="{00000001-39FF-4E1D-9442-B0B317B4C23C}"/>
            </c:ext>
          </c:extLst>
        </c:ser>
        <c:ser>
          <c:idx val="2"/>
          <c:order val="2"/>
          <c:tx>
            <c:strRef>
              <c:f>'U10m drift-fixed nets'!$K$142</c:f>
              <c:strCache>
                <c:ptCount val="1"/>
                <c:pt idx="0">
                  <c:v>Operating profit</c:v>
                </c:pt>
              </c:strCache>
            </c:strRef>
          </c:tx>
          <c:spPr>
            <a:solidFill>
              <a:srgbClr val="51AA81"/>
            </a:solidFill>
          </c:spPr>
          <c:invertIfNegative val="0"/>
          <c:cat>
            <c:strRef>
              <c:f>'U10m drift-fixed nets'!$L$139:$N$139</c:f>
              <c:strCache>
                <c:ptCount val="3"/>
                <c:pt idx="0">
                  <c:v>Most
profitable
quartile</c:v>
                </c:pt>
                <c:pt idx="1">
                  <c:v>Middle
two quartiles</c:v>
                </c:pt>
                <c:pt idx="2">
                  <c:v>Least
profitable
quartile</c:v>
                </c:pt>
              </c:strCache>
            </c:strRef>
          </c:cat>
          <c:val>
            <c:numRef>
              <c:f>'U10m drift-fixed nets'!$L$142:$N$142</c:f>
              <c:numCache>
                <c:formatCode>#,##0</c:formatCode>
                <c:ptCount val="3"/>
                <c:pt idx="0">
                  <c:v>25.3122578125</c:v>
                </c:pt>
                <c:pt idx="1">
                  <c:v>11.928973820233599</c:v>
                </c:pt>
                <c:pt idx="2">
                  <c:v>7.0723476562499998</c:v>
                </c:pt>
              </c:numCache>
            </c:numRef>
          </c:val>
          <c:extLst>
            <c:ext xmlns:c16="http://schemas.microsoft.com/office/drawing/2014/chart" uri="{C3380CC4-5D6E-409C-BE32-E72D297353CC}">
              <c16:uniqueId val="{00000002-39FF-4E1D-9442-B0B317B4C23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drift-fixed nets'!$K$143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traps'!$A$49</c:f>
          <c:strCache>
            <c:ptCount val="1"/>
            <c:pt idx="0">
              <c:v>Landings per kW day at sea (kg)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CD7-41D2-AE10-FE706CF12AC3}"/>
              </c:ext>
            </c:extLst>
          </c:dPt>
          <c:dPt>
            <c:idx val="10"/>
            <c:bubble3D val="0"/>
            <c:spPr>
              <a:ln w="57150">
                <a:solidFill>
                  <a:srgbClr val="2273B9"/>
                </a:solidFill>
                <a:prstDash val="sysDot"/>
              </a:ln>
            </c:spPr>
            <c:extLst>
              <c:ext xmlns:c16="http://schemas.microsoft.com/office/drawing/2014/chart" uri="{C3380CC4-5D6E-409C-BE32-E72D297353CC}">
                <c16:uniqueId val="{00000003-BCD7-41D2-AE10-FE706CF12AC3}"/>
              </c:ext>
            </c:extLst>
          </c:dPt>
          <c:cat>
            <c:numRef>
              <c:f>'U10m pots and traps'!$D$2:$N$2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pots and traps'!$D$22:$N$22</c:f>
              <c:numCache>
                <c:formatCode>#,##0.00</c:formatCode>
                <c:ptCount val="11"/>
                <c:pt idx="0">
                  <c:v>2.6387625670278583</c:v>
                </c:pt>
                <c:pt idx="1">
                  <c:v>2.7986422073965769</c:v>
                </c:pt>
                <c:pt idx="2">
                  <c:v>2.4366922165614433</c:v>
                </c:pt>
                <c:pt idx="3">
                  <c:v>2.1620165451187079</c:v>
                </c:pt>
                <c:pt idx="4">
                  <c:v>2.4172016242267644</c:v>
                </c:pt>
                <c:pt idx="5">
                  <c:v>2.9819414369914212</c:v>
                </c:pt>
                <c:pt idx="6">
                  <c:v>2.7132952824039109</c:v>
                </c:pt>
                <c:pt idx="7">
                  <c:v>2.831586364705037</c:v>
                </c:pt>
                <c:pt idx="8">
                  <c:v>2.8246670994924696</c:v>
                </c:pt>
                <c:pt idx="9">
                  <c:v>2.7415102821716637</c:v>
                </c:pt>
                <c:pt idx="10">
                  <c:v>2.5595402198670487</c:v>
                </c:pt>
              </c:numCache>
            </c:numRef>
          </c:val>
          <c:smooth val="0"/>
          <c:extLst>
            <c:ext xmlns:c16="http://schemas.microsoft.com/office/drawing/2014/chart" uri="{C3380CC4-5D6E-409C-BE32-E72D297353CC}">
              <c16:uniqueId val="{00000004-BCD7-41D2-AE10-FE706CF12AC3}"/>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traps'!$A$50</c:f>
          <c:strCache>
            <c:ptCount val="1"/>
            <c:pt idx="0">
              <c:v>Fishing income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3131-49B9-8367-A704AEE87439}"/>
              </c:ext>
            </c:extLst>
          </c:dPt>
          <c:dPt>
            <c:idx val="10"/>
            <c:bubble3D val="0"/>
            <c:spPr>
              <a:ln w="57150">
                <a:solidFill>
                  <a:srgbClr val="648C2E"/>
                </a:solidFill>
                <a:prstDash val="sysDot"/>
              </a:ln>
            </c:spPr>
            <c:extLst>
              <c:ext xmlns:c16="http://schemas.microsoft.com/office/drawing/2014/chart" uri="{C3380CC4-5D6E-409C-BE32-E72D297353CC}">
                <c16:uniqueId val="{00000003-3131-49B9-8367-A704AEE87439}"/>
              </c:ext>
            </c:extLst>
          </c:dPt>
          <c:cat>
            <c:numRef>
              <c:f>'U10m pots and traps'!$D$2:$N$2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pots and traps'!$D$23:$N$23</c:f>
              <c:numCache>
                <c:formatCode>#,##0.00</c:formatCode>
                <c:ptCount val="11"/>
                <c:pt idx="0">
                  <c:v>6.8926030822580797</c:v>
                </c:pt>
                <c:pt idx="1">
                  <c:v>6.7382559164127098</c:v>
                </c:pt>
                <c:pt idx="2">
                  <c:v>6.2865118143495504</c:v>
                </c:pt>
                <c:pt idx="3">
                  <c:v>5.5772994268600202</c:v>
                </c:pt>
                <c:pt idx="4">
                  <c:v>7.0066609550394503</c:v>
                </c:pt>
                <c:pt idx="5">
                  <c:v>9.2118016481477305</c:v>
                </c:pt>
                <c:pt idx="6">
                  <c:v>10.722288647039401</c:v>
                </c:pt>
                <c:pt idx="7">
                  <c:v>10.8453060361987</c:v>
                </c:pt>
                <c:pt idx="8">
                  <c:v>9.0137265955590795</c:v>
                </c:pt>
                <c:pt idx="9">
                  <c:v>10.537392368903101</c:v>
                </c:pt>
                <c:pt idx="10">
                  <c:v>10.80413724977652</c:v>
                </c:pt>
              </c:numCache>
            </c:numRef>
          </c:val>
          <c:smooth val="0"/>
          <c:extLst>
            <c:ext xmlns:c16="http://schemas.microsoft.com/office/drawing/2014/chart" uri="{C3380CC4-5D6E-409C-BE32-E72D297353CC}">
              <c16:uniqueId val="{00000004-3131-49B9-8367-A704AEE87439}"/>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traps'!$B$63</c:f>
          <c:strCache>
            <c:ptCount val="1"/>
            <c:pt idx="0">
              <c:v>Total cost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FF66-4D59-9716-F96C5D17CA35}"/>
              </c:ext>
            </c:extLst>
          </c:dPt>
          <c:dPt>
            <c:idx val="10"/>
            <c:bubble3D val="0"/>
            <c:spPr>
              <a:ln w="57150">
                <a:solidFill>
                  <a:srgbClr val="087CBB"/>
                </a:solidFill>
                <a:prstDash val="sysDot"/>
              </a:ln>
            </c:spPr>
            <c:extLst>
              <c:ext xmlns:c16="http://schemas.microsoft.com/office/drawing/2014/chart" uri="{C3380CC4-5D6E-409C-BE32-E72D297353CC}">
                <c16:uniqueId val="{00000003-FF66-4D59-9716-F96C5D17CA35}"/>
              </c:ext>
            </c:extLst>
          </c:dPt>
          <c:cat>
            <c:numRef>
              <c:f>'U10m pots and traps'!$D$2:$N$2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pots and traps'!$D$24:$N$24</c:f>
              <c:numCache>
                <c:formatCode>#,##0.00</c:formatCode>
                <c:ptCount val="11"/>
                <c:pt idx="0">
                  <c:v>5.8701296998496204</c:v>
                </c:pt>
                <c:pt idx="1">
                  <c:v>5.52391512479248</c:v>
                </c:pt>
                <c:pt idx="2">
                  <c:v>5.2541802586241602</c:v>
                </c:pt>
                <c:pt idx="3">
                  <c:v>4.5840488893430704</c:v>
                </c:pt>
                <c:pt idx="4">
                  <c:v>5.0796694948554899</c:v>
                </c:pt>
                <c:pt idx="5">
                  <c:v>6.5492632814827401</c:v>
                </c:pt>
                <c:pt idx="6">
                  <c:v>7.8521348277460001</c:v>
                </c:pt>
                <c:pt idx="7">
                  <c:v>8.3560230222245</c:v>
                </c:pt>
                <c:pt idx="8">
                  <c:v>7.3532640601253796</c:v>
                </c:pt>
                <c:pt idx="9">
                  <c:v>7.6252692824598398</c:v>
                </c:pt>
                <c:pt idx="10">
                  <c:v>8.1712277451123683</c:v>
                </c:pt>
              </c:numCache>
            </c:numRef>
          </c:val>
          <c:smooth val="0"/>
          <c:extLst>
            <c:ext xmlns:c16="http://schemas.microsoft.com/office/drawing/2014/chart" uri="{C3380CC4-5D6E-409C-BE32-E72D297353CC}">
              <c16:uniqueId val="{00000004-FF66-4D59-9716-F96C5D17CA35}"/>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traps'!$K$49</c:f>
          <c:strCache>
            <c:ptCount val="1"/>
            <c:pt idx="0">
              <c:v>Operating profit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3F8E-408A-B7E9-7CBF09071A86}"/>
              </c:ext>
            </c:extLst>
          </c:dPt>
          <c:dPt>
            <c:idx val="10"/>
            <c:bubble3D val="0"/>
            <c:spPr>
              <a:ln w="57150">
                <a:solidFill>
                  <a:schemeClr val="accent3"/>
                </a:solidFill>
                <a:prstDash val="sysDot"/>
              </a:ln>
            </c:spPr>
            <c:extLst>
              <c:ext xmlns:c16="http://schemas.microsoft.com/office/drawing/2014/chart" uri="{C3380CC4-5D6E-409C-BE32-E72D297353CC}">
                <c16:uniqueId val="{00000003-3F8E-408A-B7E9-7CBF09071A86}"/>
              </c:ext>
            </c:extLst>
          </c:dPt>
          <c:cat>
            <c:numRef>
              <c:f>'U10m pots and traps'!$D$2:$N$2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pots and traps'!$D$25:$N$25</c:f>
              <c:numCache>
                <c:formatCode>#,##0.00</c:formatCode>
                <c:ptCount val="11"/>
                <c:pt idx="0">
                  <c:v>1.34985276483843</c:v>
                </c:pt>
                <c:pt idx="1">
                  <c:v>1.5588483150975001</c:v>
                </c:pt>
                <c:pt idx="2">
                  <c:v>1.2892847141638299</c:v>
                </c:pt>
                <c:pt idx="3">
                  <c:v>1.13082436762085</c:v>
                </c:pt>
                <c:pt idx="4">
                  <c:v>2.2943879034275199</c:v>
                </c:pt>
                <c:pt idx="5">
                  <c:v>2.91503807080649</c:v>
                </c:pt>
                <c:pt idx="6">
                  <c:v>3.2482117212722401</c:v>
                </c:pt>
                <c:pt idx="7">
                  <c:v>3.1278234212804401</c:v>
                </c:pt>
                <c:pt idx="8">
                  <c:v>2.9388682196938301</c:v>
                </c:pt>
                <c:pt idx="9">
                  <c:v>3.4538792979640198</c:v>
                </c:pt>
                <c:pt idx="10">
                  <c:v>3.1625356627557677</c:v>
                </c:pt>
              </c:numCache>
            </c:numRef>
          </c:val>
          <c:smooth val="0"/>
          <c:extLst>
            <c:ext xmlns:c16="http://schemas.microsoft.com/office/drawing/2014/chart" uri="{C3380CC4-5D6E-409C-BE32-E72D297353CC}">
              <c16:uniqueId val="{00000004-3F8E-408A-B7E9-7CBF09071A8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traps'!$A$51</c:f>
          <c:strCache>
            <c:ptCount val="1"/>
            <c:pt idx="0">
              <c:v>Average price per tonne landed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31C-4A82-94C0-7C225A4E0158}"/>
              </c:ext>
            </c:extLst>
          </c:dPt>
          <c:dPt>
            <c:idx val="10"/>
            <c:bubble3D val="0"/>
            <c:spPr>
              <a:ln w="57150">
                <a:solidFill>
                  <a:schemeClr val="accent4"/>
                </a:solidFill>
                <a:prstDash val="sysDot"/>
              </a:ln>
            </c:spPr>
            <c:extLst>
              <c:ext xmlns:c16="http://schemas.microsoft.com/office/drawing/2014/chart" uri="{C3380CC4-5D6E-409C-BE32-E72D297353CC}">
                <c16:uniqueId val="{00000003-A31C-4A82-94C0-7C225A4E0158}"/>
              </c:ext>
            </c:extLst>
          </c:dPt>
          <c:cat>
            <c:numRef>
              <c:f>'U10m pots and traps'!$D$2:$M$2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traps'!$D$21:$N$21</c:f>
              <c:numCache>
                <c:formatCode>#,##0</c:formatCode>
                <c:ptCount val="11"/>
                <c:pt idx="0">
                  <c:v>2612</c:v>
                </c:pt>
                <c:pt idx="1">
                  <c:v>2408</c:v>
                </c:pt>
                <c:pt idx="2">
                  <c:v>2580</c:v>
                </c:pt>
                <c:pt idx="3">
                  <c:v>2580</c:v>
                </c:pt>
                <c:pt idx="4">
                  <c:v>2899</c:v>
                </c:pt>
                <c:pt idx="5">
                  <c:v>3089</c:v>
                </c:pt>
                <c:pt idx="6">
                  <c:v>3952</c:v>
                </c:pt>
                <c:pt idx="7">
                  <c:v>3830</c:v>
                </c:pt>
                <c:pt idx="8">
                  <c:v>3191</c:v>
                </c:pt>
                <c:pt idx="9">
                  <c:v>3844</c:v>
                </c:pt>
                <c:pt idx="10">
                  <c:v>4221</c:v>
                </c:pt>
              </c:numCache>
            </c:numRef>
          </c:val>
          <c:smooth val="0"/>
          <c:extLst>
            <c:ext xmlns:c16="http://schemas.microsoft.com/office/drawing/2014/chart" uri="{C3380CC4-5D6E-409C-BE32-E72D297353CC}">
              <c16:uniqueId val="{00000004-A31C-4A82-94C0-7C225A4E015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traps'!$K$63</c:f>
          <c:strCache>
            <c:ptCount val="1"/>
            <c:pt idx="0">
              <c:v>Average annual operating profit per vessel (£'000)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56C-490E-8752-8CB2F3B26F5E}"/>
              </c:ext>
            </c:extLst>
          </c:dPt>
          <c:dPt>
            <c:idx val="10"/>
            <c:bubble3D val="0"/>
            <c:spPr>
              <a:ln w="57150">
                <a:solidFill>
                  <a:schemeClr val="accent5"/>
                </a:solidFill>
                <a:prstDash val="sysDot"/>
              </a:ln>
            </c:spPr>
            <c:extLst>
              <c:ext xmlns:c16="http://schemas.microsoft.com/office/drawing/2014/chart" uri="{C3380CC4-5D6E-409C-BE32-E72D297353CC}">
                <c16:uniqueId val="{00000003-756C-490E-8752-8CB2F3B26F5E}"/>
              </c:ext>
            </c:extLst>
          </c:dPt>
          <c:cat>
            <c:numRef>
              <c:f>'U10m pots and traps'!$D$2:$M$2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traps'!$D$38:$N$38</c:f>
              <c:numCache>
                <c:formatCode>#,##0.0</c:formatCode>
                <c:ptCount val="11"/>
                <c:pt idx="0">
                  <c:v>12.1</c:v>
                </c:pt>
                <c:pt idx="1">
                  <c:v>14.8</c:v>
                </c:pt>
                <c:pt idx="2">
                  <c:v>13.4</c:v>
                </c:pt>
                <c:pt idx="3">
                  <c:v>12.7</c:v>
                </c:pt>
                <c:pt idx="4">
                  <c:v>23.8</c:v>
                </c:pt>
                <c:pt idx="5">
                  <c:v>21.9</c:v>
                </c:pt>
                <c:pt idx="6">
                  <c:v>23.2</c:v>
                </c:pt>
                <c:pt idx="7">
                  <c:v>23.1</c:v>
                </c:pt>
                <c:pt idx="8">
                  <c:v>20.399999999999999</c:v>
                </c:pt>
                <c:pt idx="9">
                  <c:v>23.4</c:v>
                </c:pt>
                <c:pt idx="10">
                  <c:v>21.3</c:v>
                </c:pt>
              </c:numCache>
            </c:numRef>
          </c:val>
          <c:smooth val="0"/>
          <c:extLst>
            <c:ext xmlns:c16="http://schemas.microsoft.com/office/drawing/2014/chart" uri="{C3380CC4-5D6E-409C-BE32-E72D297353CC}">
              <c16:uniqueId val="{00000004-756C-490E-8752-8CB2F3B26F5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traps'!$A$77</c:f>
          <c:strCache>
            <c:ptCount val="1"/>
            <c:pt idx="0">
              <c:v>Top 5 landed species by volume in 2021
Under 10m pots and traps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1140-4B37-AC05-800C19C84821}"/>
              </c:ext>
            </c:extLst>
          </c:dPt>
          <c:dPt>
            <c:idx val="1"/>
            <c:bubble3D val="0"/>
            <c:spPr>
              <a:solidFill>
                <a:srgbClr val="E87308"/>
              </a:solidFill>
              <a:ln>
                <a:solidFill>
                  <a:srgbClr val="FFFFFF"/>
                </a:solidFill>
              </a:ln>
            </c:spPr>
            <c:extLst>
              <c:ext xmlns:c16="http://schemas.microsoft.com/office/drawing/2014/chart" uri="{C3380CC4-5D6E-409C-BE32-E72D297353CC}">
                <c16:uniqueId val="{00000003-1140-4B37-AC05-800C19C84821}"/>
              </c:ext>
            </c:extLst>
          </c:dPt>
          <c:dPt>
            <c:idx val="2"/>
            <c:bubble3D val="0"/>
            <c:spPr>
              <a:solidFill>
                <a:srgbClr val="2273B9"/>
              </a:solidFill>
              <a:ln>
                <a:solidFill>
                  <a:srgbClr val="FFFFFF"/>
                </a:solidFill>
              </a:ln>
            </c:spPr>
            <c:extLst>
              <c:ext xmlns:c16="http://schemas.microsoft.com/office/drawing/2014/chart" uri="{C3380CC4-5D6E-409C-BE32-E72D297353CC}">
                <c16:uniqueId val="{00000005-1140-4B37-AC05-800C19C84821}"/>
              </c:ext>
            </c:extLst>
          </c:dPt>
          <c:dPt>
            <c:idx val="3"/>
            <c:bubble3D val="0"/>
            <c:spPr>
              <a:solidFill>
                <a:srgbClr val="E84A38"/>
              </a:solidFill>
              <a:ln>
                <a:solidFill>
                  <a:srgbClr val="FFFFFF"/>
                </a:solidFill>
              </a:ln>
            </c:spPr>
            <c:extLst>
              <c:ext xmlns:c16="http://schemas.microsoft.com/office/drawing/2014/chart" uri="{C3380CC4-5D6E-409C-BE32-E72D297353CC}">
                <c16:uniqueId val="{00000007-1140-4B37-AC05-800C19C84821}"/>
              </c:ext>
            </c:extLst>
          </c:dPt>
          <c:dPt>
            <c:idx val="4"/>
            <c:bubble3D val="0"/>
            <c:spPr>
              <a:solidFill>
                <a:srgbClr val="C1D119"/>
              </a:solidFill>
              <a:ln>
                <a:solidFill>
                  <a:srgbClr val="FFFFFF"/>
                </a:solidFill>
              </a:ln>
            </c:spPr>
            <c:extLst>
              <c:ext xmlns:c16="http://schemas.microsoft.com/office/drawing/2014/chart" uri="{C3380CC4-5D6E-409C-BE32-E72D297353CC}">
                <c16:uniqueId val="{00000009-1140-4B37-AC05-800C19C84821}"/>
              </c:ext>
            </c:extLst>
          </c:dPt>
          <c:dPt>
            <c:idx val="5"/>
            <c:bubble3D val="0"/>
            <c:spPr>
              <a:solidFill>
                <a:srgbClr val="55585A"/>
              </a:solidFill>
              <a:ln>
                <a:solidFill>
                  <a:srgbClr val="FFFFFF"/>
                </a:solidFill>
              </a:ln>
            </c:spPr>
            <c:extLst>
              <c:ext xmlns:c16="http://schemas.microsoft.com/office/drawing/2014/chart" uri="{C3380CC4-5D6E-409C-BE32-E72D297353CC}">
                <c16:uniqueId val="{0000000B-1140-4B37-AC05-800C19C84821}"/>
              </c:ext>
            </c:extLst>
          </c:dPt>
          <c:cat>
            <c:strRef>
              <c:f>'U10m pots and traps'!$B$78:$B$83</c:f>
              <c:strCache>
                <c:ptCount val="6"/>
                <c:pt idx="0">
                  <c:v>Whelks - 41.1%</c:v>
                </c:pt>
                <c:pt idx="1">
                  <c:v>Brown Crab - 30.3%</c:v>
                </c:pt>
                <c:pt idx="2">
                  <c:v>Lobsters - 8.9%</c:v>
                </c:pt>
                <c:pt idx="3">
                  <c:v>Velvet Crab - 7.2%</c:v>
                </c:pt>
                <c:pt idx="4">
                  <c:v>Nephrops - 3.9%</c:v>
                </c:pt>
                <c:pt idx="5">
                  <c:v>Others - 8.6%</c:v>
                </c:pt>
              </c:strCache>
            </c:strRef>
          </c:cat>
          <c:val>
            <c:numRef>
              <c:f>'U10m pots and traps'!$C$78:$C$83</c:f>
              <c:numCache>
                <c:formatCode>0.0%</c:formatCode>
                <c:ptCount val="6"/>
                <c:pt idx="0">
                  <c:v>0.41099338252606704</c:v>
                </c:pt>
                <c:pt idx="1">
                  <c:v>0.30268222174459958</c:v>
                </c:pt>
                <c:pt idx="2">
                  <c:v>8.8940003063745346E-2</c:v>
                </c:pt>
                <c:pt idx="3">
                  <c:v>7.2119375093154414E-2</c:v>
                </c:pt>
                <c:pt idx="4">
                  <c:v>3.8874621712054018E-2</c:v>
                </c:pt>
                <c:pt idx="5">
                  <c:v>8.6390395860379443E-2</c:v>
                </c:pt>
              </c:numCache>
            </c:numRef>
          </c:val>
          <c:extLst>
            <c:ext xmlns:c16="http://schemas.microsoft.com/office/drawing/2014/chart" uri="{C3380CC4-5D6E-409C-BE32-E72D297353CC}">
              <c16:uniqueId val="{0000000C-1140-4B37-AC05-800C19C8482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u250kW'!$F$77</c:f>
          <c:strCache>
            <c:ptCount val="1"/>
            <c:pt idx="0">
              <c:v>Top 5 landed species by value in 2021
Area VIIA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7E1-423A-B4DF-81F12126F31F}"/>
              </c:ext>
            </c:extLst>
          </c:dPt>
          <c:dPt>
            <c:idx val="1"/>
            <c:bubble3D val="0"/>
            <c:spPr>
              <a:solidFill>
                <a:srgbClr val="E87308"/>
              </a:solidFill>
              <a:ln>
                <a:solidFill>
                  <a:srgbClr val="FFFFFF"/>
                </a:solidFill>
              </a:ln>
            </c:spPr>
            <c:extLst>
              <c:ext xmlns:c16="http://schemas.microsoft.com/office/drawing/2014/chart" uri="{C3380CC4-5D6E-409C-BE32-E72D297353CC}">
                <c16:uniqueId val="{00000003-87E1-423A-B4DF-81F12126F31F}"/>
              </c:ext>
            </c:extLst>
          </c:dPt>
          <c:dPt>
            <c:idx val="2"/>
            <c:bubble3D val="0"/>
            <c:spPr>
              <a:solidFill>
                <a:srgbClr val="648C2E"/>
              </a:solidFill>
              <a:ln>
                <a:solidFill>
                  <a:srgbClr val="FFFFFF"/>
                </a:solidFill>
              </a:ln>
            </c:spPr>
            <c:extLst>
              <c:ext xmlns:c16="http://schemas.microsoft.com/office/drawing/2014/chart" uri="{C3380CC4-5D6E-409C-BE32-E72D297353CC}">
                <c16:uniqueId val="{00000005-87E1-423A-B4DF-81F12126F31F}"/>
              </c:ext>
            </c:extLst>
          </c:dPt>
          <c:dPt>
            <c:idx val="3"/>
            <c:bubble3D val="0"/>
            <c:spPr>
              <a:solidFill>
                <a:srgbClr val="C1D119"/>
              </a:solidFill>
              <a:ln>
                <a:solidFill>
                  <a:srgbClr val="FFFFFF"/>
                </a:solidFill>
              </a:ln>
            </c:spPr>
            <c:extLst>
              <c:ext xmlns:c16="http://schemas.microsoft.com/office/drawing/2014/chart" uri="{C3380CC4-5D6E-409C-BE32-E72D297353CC}">
                <c16:uniqueId val="{00000007-87E1-423A-B4DF-81F12126F31F}"/>
              </c:ext>
            </c:extLst>
          </c:dPt>
          <c:dPt>
            <c:idx val="4"/>
            <c:bubble3D val="0"/>
            <c:spPr>
              <a:solidFill>
                <a:srgbClr val="E84A38"/>
              </a:solidFill>
              <a:ln>
                <a:solidFill>
                  <a:srgbClr val="FFFFFF"/>
                </a:solidFill>
              </a:ln>
            </c:spPr>
            <c:extLst>
              <c:ext xmlns:c16="http://schemas.microsoft.com/office/drawing/2014/chart" uri="{C3380CC4-5D6E-409C-BE32-E72D297353CC}">
                <c16:uniqueId val="{00000009-87E1-423A-B4DF-81F12126F31F}"/>
              </c:ext>
            </c:extLst>
          </c:dPt>
          <c:dPt>
            <c:idx val="5"/>
            <c:bubble3D val="0"/>
            <c:spPr>
              <a:solidFill>
                <a:srgbClr val="55585A"/>
              </a:solidFill>
              <a:ln>
                <a:solidFill>
                  <a:srgbClr val="FFFFFF"/>
                </a:solidFill>
              </a:ln>
            </c:spPr>
            <c:extLst>
              <c:ext xmlns:c16="http://schemas.microsoft.com/office/drawing/2014/chart" uri="{C3380CC4-5D6E-409C-BE32-E72D297353CC}">
                <c16:uniqueId val="{0000000B-87E1-423A-B4DF-81F12126F31F}"/>
              </c:ext>
            </c:extLst>
          </c:dPt>
          <c:cat>
            <c:strRef>
              <c:f>'Area VIIa nephrops u250kW'!$G$78:$G$83</c:f>
              <c:strCache>
                <c:ptCount val="6"/>
                <c:pt idx="0">
                  <c:v>Nephrops - 86.8%</c:v>
                </c:pt>
                <c:pt idx="1">
                  <c:v>Scallops - 6.4%</c:v>
                </c:pt>
                <c:pt idx="2">
                  <c:v>Anglerfish - 1.4%</c:v>
                </c:pt>
                <c:pt idx="3">
                  <c:v>Les. Spot. Dog - 0.8%</c:v>
                </c:pt>
                <c:pt idx="4">
                  <c:v>Sole - 0.8%</c:v>
                </c:pt>
                <c:pt idx="5">
                  <c:v>Others - 3.7%</c:v>
                </c:pt>
              </c:strCache>
            </c:strRef>
          </c:cat>
          <c:val>
            <c:numRef>
              <c:f>'Area VIIa nephrops u250kW'!$H$78:$H$83</c:f>
              <c:numCache>
                <c:formatCode>0.0%</c:formatCode>
                <c:ptCount val="6"/>
                <c:pt idx="0">
                  <c:v>0.86817049292833692</c:v>
                </c:pt>
                <c:pt idx="1">
                  <c:v>6.403337499281192E-2</c:v>
                </c:pt>
                <c:pt idx="2">
                  <c:v>1.449452425413586E-2</c:v>
                </c:pt>
                <c:pt idx="3">
                  <c:v>8.4015272356598846E-3</c:v>
                </c:pt>
                <c:pt idx="4">
                  <c:v>7.5113092316006196E-3</c:v>
                </c:pt>
                <c:pt idx="5">
                  <c:v>3.7388771357454775E-2</c:v>
                </c:pt>
              </c:numCache>
            </c:numRef>
          </c:val>
          <c:extLst>
            <c:ext xmlns:c16="http://schemas.microsoft.com/office/drawing/2014/chart" uri="{C3380CC4-5D6E-409C-BE32-E72D297353CC}">
              <c16:uniqueId val="{0000000C-87E1-423A-B4DF-81F12126F31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traps'!$F$77</c:f>
          <c:strCache>
            <c:ptCount val="1"/>
            <c:pt idx="0">
              <c:v>Top 5 landed species by value in 2021
Under 10m pots and traps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F27-43EE-8D1A-94CE55402D9E}"/>
              </c:ext>
            </c:extLst>
          </c:dPt>
          <c:dPt>
            <c:idx val="1"/>
            <c:bubble3D val="0"/>
            <c:spPr>
              <a:solidFill>
                <a:srgbClr val="E87308"/>
              </a:solidFill>
              <a:ln>
                <a:solidFill>
                  <a:srgbClr val="FFFFFF"/>
                </a:solidFill>
              </a:ln>
            </c:spPr>
            <c:extLst>
              <c:ext xmlns:c16="http://schemas.microsoft.com/office/drawing/2014/chart" uri="{C3380CC4-5D6E-409C-BE32-E72D297353CC}">
                <c16:uniqueId val="{00000003-4F27-43EE-8D1A-94CE55402D9E}"/>
              </c:ext>
            </c:extLst>
          </c:dPt>
          <c:dPt>
            <c:idx val="2"/>
            <c:bubble3D val="0"/>
            <c:spPr>
              <a:solidFill>
                <a:srgbClr val="648C2E"/>
              </a:solidFill>
              <a:ln>
                <a:solidFill>
                  <a:srgbClr val="FFFFFF"/>
                </a:solidFill>
              </a:ln>
            </c:spPr>
            <c:extLst>
              <c:ext xmlns:c16="http://schemas.microsoft.com/office/drawing/2014/chart" uri="{C3380CC4-5D6E-409C-BE32-E72D297353CC}">
                <c16:uniqueId val="{00000005-4F27-43EE-8D1A-94CE55402D9E}"/>
              </c:ext>
            </c:extLst>
          </c:dPt>
          <c:dPt>
            <c:idx val="3"/>
            <c:bubble3D val="0"/>
            <c:spPr>
              <a:solidFill>
                <a:srgbClr val="C1D119"/>
              </a:solidFill>
              <a:ln>
                <a:solidFill>
                  <a:srgbClr val="FFFFFF"/>
                </a:solidFill>
              </a:ln>
            </c:spPr>
            <c:extLst>
              <c:ext xmlns:c16="http://schemas.microsoft.com/office/drawing/2014/chart" uri="{C3380CC4-5D6E-409C-BE32-E72D297353CC}">
                <c16:uniqueId val="{00000007-4F27-43EE-8D1A-94CE55402D9E}"/>
              </c:ext>
            </c:extLst>
          </c:dPt>
          <c:dPt>
            <c:idx val="4"/>
            <c:bubble3D val="0"/>
            <c:spPr>
              <a:solidFill>
                <a:srgbClr val="C1D119"/>
              </a:solidFill>
              <a:ln>
                <a:solidFill>
                  <a:srgbClr val="FFFFFF"/>
                </a:solidFill>
              </a:ln>
            </c:spPr>
            <c:extLst>
              <c:ext xmlns:c16="http://schemas.microsoft.com/office/drawing/2014/chart" uri="{C3380CC4-5D6E-409C-BE32-E72D297353CC}">
                <c16:uniqueId val="{00000009-4F27-43EE-8D1A-94CE55402D9E}"/>
              </c:ext>
            </c:extLst>
          </c:dPt>
          <c:dPt>
            <c:idx val="5"/>
            <c:bubble3D val="0"/>
            <c:spPr>
              <a:solidFill>
                <a:srgbClr val="55585A"/>
              </a:solidFill>
              <a:ln>
                <a:solidFill>
                  <a:srgbClr val="FFFFFF"/>
                </a:solidFill>
              </a:ln>
            </c:spPr>
            <c:extLst>
              <c:ext xmlns:c16="http://schemas.microsoft.com/office/drawing/2014/chart" uri="{C3380CC4-5D6E-409C-BE32-E72D297353CC}">
                <c16:uniqueId val="{0000000B-4F27-43EE-8D1A-94CE55402D9E}"/>
              </c:ext>
            </c:extLst>
          </c:dPt>
          <c:cat>
            <c:strRef>
              <c:f>'U10m pots and traps'!$G$78:$G$83</c:f>
              <c:strCache>
                <c:ptCount val="6"/>
                <c:pt idx="0">
                  <c:v>Lobsters - 37.9%</c:v>
                </c:pt>
                <c:pt idx="1">
                  <c:v>Brown Crab - 19.2%</c:v>
                </c:pt>
                <c:pt idx="2">
                  <c:v>Whelks - 12.4%</c:v>
                </c:pt>
                <c:pt idx="3">
                  <c:v>Nephrops - 11.1%</c:v>
                </c:pt>
                <c:pt idx="4">
                  <c:v>-6.80%</c:v>
                </c:pt>
                <c:pt idx="5">
                  <c:v>Others - 12.5%</c:v>
                </c:pt>
              </c:strCache>
            </c:strRef>
          </c:cat>
          <c:val>
            <c:numRef>
              <c:f>'U10m pots and traps'!$H$78:$H$83</c:f>
              <c:numCache>
                <c:formatCode>0.0%</c:formatCode>
                <c:ptCount val="6"/>
                <c:pt idx="0">
                  <c:v>0.37911162559383682</c:v>
                </c:pt>
                <c:pt idx="1">
                  <c:v>0.19209878293443172</c:v>
                </c:pt>
                <c:pt idx="2">
                  <c:v>0.12402699566055134</c:v>
                </c:pt>
                <c:pt idx="3">
                  <c:v>0.11145212474937194</c:v>
                </c:pt>
                <c:pt idx="4">
                  <c:v>6.8202241873764502E-2</c:v>
                </c:pt>
                <c:pt idx="5">
                  <c:v>0.12510822918804365</c:v>
                </c:pt>
              </c:numCache>
            </c:numRef>
          </c:val>
          <c:extLst>
            <c:ext xmlns:c16="http://schemas.microsoft.com/office/drawing/2014/chart" uri="{C3380CC4-5D6E-409C-BE32-E72D297353CC}">
              <c16:uniqueId val="{0000000C-4F27-43EE-8D1A-94CE55402D9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pots and traps'!$C$93</c:f>
              <c:strCache>
                <c:ptCount val="1"/>
                <c:pt idx="0">
                  <c:v>Lobsters</c:v>
                </c:pt>
              </c:strCache>
            </c:strRef>
          </c:tx>
          <c:spPr>
            <a:solidFill>
              <a:srgbClr val="2273B9"/>
            </a:solidFill>
            <a:ln>
              <a:solidFill>
                <a:srgbClr val="FFFFFF"/>
              </a:solidFill>
            </a:ln>
          </c:spPr>
          <c:invertIfNegative val="0"/>
          <c:cat>
            <c:numRef>
              <c:f>'U10m pots and traps'!$D$92:$M$92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pots and traps'!$D$93:$M$93</c:f>
              <c:numCache>
                <c:formatCode>0%</c:formatCode>
                <c:ptCount val="10"/>
                <c:pt idx="0">
                  <c:v>0.34003652663415679</c:v>
                </c:pt>
                <c:pt idx="1">
                  <c:v>0.36419418406921011</c:v>
                </c:pt>
                <c:pt idx="2">
                  <c:v>0.35296323450458078</c:v>
                </c:pt>
                <c:pt idx="3">
                  <c:v>0.35434603963892797</c:v>
                </c:pt>
                <c:pt idx="4">
                  <c:v>0.3958650977857554</c:v>
                </c:pt>
                <c:pt idx="5">
                  <c:v>0.34332332311956221</c:v>
                </c:pt>
                <c:pt idx="6">
                  <c:v>0.33196366762313334</c:v>
                </c:pt>
                <c:pt idx="7">
                  <c:v>0.33322941953803242</c:v>
                </c:pt>
                <c:pt idx="8">
                  <c:v>0.37911162559383682</c:v>
                </c:pt>
                <c:pt idx="9">
                  <c:v>0.39293514118475253</c:v>
                </c:pt>
              </c:numCache>
            </c:numRef>
          </c:val>
          <c:extLst>
            <c:ext xmlns:c16="http://schemas.microsoft.com/office/drawing/2014/chart" uri="{C3380CC4-5D6E-409C-BE32-E72D297353CC}">
              <c16:uniqueId val="{00000000-8204-407C-8E0A-AE557D8C4C16}"/>
            </c:ext>
          </c:extLst>
        </c:ser>
        <c:ser>
          <c:idx val="1"/>
          <c:order val="1"/>
          <c:tx>
            <c:strRef>
              <c:f>'U10m pots and traps'!$C$94</c:f>
              <c:strCache>
                <c:ptCount val="1"/>
                <c:pt idx="0">
                  <c:v>Brown Crab</c:v>
                </c:pt>
              </c:strCache>
            </c:strRef>
          </c:tx>
          <c:spPr>
            <a:solidFill>
              <a:srgbClr val="E87308"/>
            </a:solidFill>
            <a:ln>
              <a:solidFill>
                <a:srgbClr val="FFFFFF"/>
              </a:solidFill>
            </a:ln>
          </c:spPr>
          <c:invertIfNegative val="0"/>
          <c:cat>
            <c:numRef>
              <c:f>'U10m pots and traps'!$D$92:$M$92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pots and traps'!$D$94:$M$94</c:f>
              <c:numCache>
                <c:formatCode>0%</c:formatCode>
                <c:ptCount val="10"/>
                <c:pt idx="0">
                  <c:v>0.21913460467890972</c:v>
                </c:pt>
                <c:pt idx="1">
                  <c:v>0.21996905331399605</c:v>
                </c:pt>
                <c:pt idx="2">
                  <c:v>0.19513409480648133</c:v>
                </c:pt>
                <c:pt idx="3">
                  <c:v>0.18786130937271933</c:v>
                </c:pt>
                <c:pt idx="4">
                  <c:v>0.23520273909888675</c:v>
                </c:pt>
                <c:pt idx="5">
                  <c:v>0.2661791796973853</c:v>
                </c:pt>
                <c:pt idx="6">
                  <c:v>0.25243416361680987</c:v>
                </c:pt>
                <c:pt idx="7">
                  <c:v>0.17593775832740485</c:v>
                </c:pt>
                <c:pt idx="8">
                  <c:v>0.19209878293443172</c:v>
                </c:pt>
                <c:pt idx="9">
                  <c:v>0.20089617958402789</c:v>
                </c:pt>
              </c:numCache>
            </c:numRef>
          </c:val>
          <c:extLst>
            <c:ext xmlns:c16="http://schemas.microsoft.com/office/drawing/2014/chart" uri="{C3380CC4-5D6E-409C-BE32-E72D297353CC}">
              <c16:uniqueId val="{00000001-8204-407C-8E0A-AE557D8C4C16}"/>
            </c:ext>
          </c:extLst>
        </c:ser>
        <c:ser>
          <c:idx val="2"/>
          <c:order val="2"/>
          <c:tx>
            <c:strRef>
              <c:f>'U10m pots and traps'!$C$95</c:f>
              <c:strCache>
                <c:ptCount val="1"/>
                <c:pt idx="0">
                  <c:v>Whelks</c:v>
                </c:pt>
              </c:strCache>
            </c:strRef>
          </c:tx>
          <c:spPr>
            <a:solidFill>
              <a:srgbClr val="648C2E"/>
            </a:solidFill>
            <a:ln>
              <a:solidFill>
                <a:srgbClr val="FFFFFF"/>
              </a:solidFill>
            </a:ln>
          </c:spPr>
          <c:invertIfNegative val="0"/>
          <c:cat>
            <c:numRef>
              <c:f>'U10m pots and traps'!$D$92:$M$92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pots and traps'!$D$95:$M$95</c:f>
              <c:numCache>
                <c:formatCode>0%</c:formatCode>
                <c:ptCount val="10"/>
                <c:pt idx="0">
                  <c:v>0.15137428864624347</c:v>
                </c:pt>
                <c:pt idx="1">
                  <c:v>0.14810159426481262</c:v>
                </c:pt>
                <c:pt idx="2">
                  <c:v>0.16970908477680197</c:v>
                </c:pt>
                <c:pt idx="3">
                  <c:v>0.15691859691569113</c:v>
                </c:pt>
                <c:pt idx="4">
                  <c:v>0.14960500826049361</c:v>
                </c:pt>
                <c:pt idx="5">
                  <c:v>0.11895798980968077</c:v>
                </c:pt>
                <c:pt idx="6">
                  <c:v>0.13530044921453477</c:v>
                </c:pt>
                <c:pt idx="7">
                  <c:v>0.17073030919335144</c:v>
                </c:pt>
                <c:pt idx="8">
                  <c:v>0.12402699566055134</c:v>
                </c:pt>
                <c:pt idx="9">
                  <c:v>9.1526213941931722E-2</c:v>
                </c:pt>
              </c:numCache>
            </c:numRef>
          </c:val>
          <c:extLst>
            <c:ext xmlns:c16="http://schemas.microsoft.com/office/drawing/2014/chart" uri="{C3380CC4-5D6E-409C-BE32-E72D297353CC}">
              <c16:uniqueId val="{00000002-8204-407C-8E0A-AE557D8C4C16}"/>
            </c:ext>
          </c:extLst>
        </c:ser>
        <c:ser>
          <c:idx val="3"/>
          <c:order val="3"/>
          <c:tx>
            <c:strRef>
              <c:f>'U10m pots and traps'!$C$96</c:f>
              <c:strCache>
                <c:ptCount val="1"/>
                <c:pt idx="0">
                  <c:v>Nephrops</c:v>
                </c:pt>
              </c:strCache>
            </c:strRef>
          </c:tx>
          <c:spPr>
            <a:solidFill>
              <a:srgbClr val="C1D119"/>
            </a:solidFill>
            <a:ln>
              <a:solidFill>
                <a:srgbClr val="FFFFFF"/>
              </a:solidFill>
            </a:ln>
          </c:spPr>
          <c:invertIfNegative val="0"/>
          <c:cat>
            <c:numRef>
              <c:f>'U10m pots and traps'!$D$92:$M$92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pots and traps'!$D$96:$M$96</c:f>
              <c:numCache>
                <c:formatCode>0%</c:formatCode>
                <c:ptCount val="10"/>
                <c:pt idx="0">
                  <c:v>0.15990272546177953</c:v>
                </c:pt>
                <c:pt idx="1">
                  <c:v>0.13795101368633267</c:v>
                </c:pt>
                <c:pt idx="2">
                  <c:v>0.13848288586096147</c:v>
                </c:pt>
                <c:pt idx="3">
                  <c:v>0.13281612831795953</c:v>
                </c:pt>
                <c:pt idx="4">
                  <c:v>8.2233423597664904E-2</c:v>
                </c:pt>
                <c:pt idx="5">
                  <c:v>0.13122629878249964</c:v>
                </c:pt>
                <c:pt idx="6">
                  <c:v>0.11925742096401275</c:v>
                </c:pt>
                <c:pt idx="7">
                  <c:v>0.12586536118157318</c:v>
                </c:pt>
                <c:pt idx="8">
                  <c:v>0.11145212474937194</c:v>
                </c:pt>
                <c:pt idx="9">
                  <c:v>0.12991425596468015</c:v>
                </c:pt>
              </c:numCache>
            </c:numRef>
          </c:val>
          <c:extLst>
            <c:ext xmlns:c16="http://schemas.microsoft.com/office/drawing/2014/chart" uri="{C3380CC4-5D6E-409C-BE32-E72D297353CC}">
              <c16:uniqueId val="{00000003-8204-407C-8E0A-AE557D8C4C16}"/>
            </c:ext>
          </c:extLst>
        </c:ser>
        <c:ser>
          <c:idx val="4"/>
          <c:order val="4"/>
          <c:tx>
            <c:strRef>
              <c:f>'U10m pots and traps'!$C$97</c:f>
              <c:strCache>
                <c:ptCount val="1"/>
                <c:pt idx="0">
                  <c:v>Velvet Crab</c:v>
                </c:pt>
              </c:strCache>
            </c:strRef>
          </c:tx>
          <c:spPr>
            <a:solidFill>
              <a:srgbClr val="E84A38"/>
            </a:solidFill>
            <a:ln>
              <a:solidFill>
                <a:srgbClr val="FFFFFF"/>
              </a:solidFill>
            </a:ln>
          </c:spPr>
          <c:invertIfNegative val="0"/>
          <c:cat>
            <c:numRef>
              <c:f>'U10m pots and traps'!$D$92:$M$92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pots and traps'!$D$97:$M$97</c:f>
              <c:numCache>
                <c:formatCode>0%</c:formatCode>
                <c:ptCount val="10"/>
                <c:pt idx="0">
                  <c:v>5.9482192273110968E-2</c:v>
                </c:pt>
                <c:pt idx="1">
                  <c:v>5.7562983323076494E-2</c:v>
                </c:pt>
                <c:pt idx="2">
                  <c:v>5.6248885906698916E-2</c:v>
                </c:pt>
                <c:pt idx="3">
                  <c:v>5.4922828850267169E-2</c:v>
                </c:pt>
                <c:pt idx="4">
                  <c:v>5.7671576801155026E-2</c:v>
                </c:pt>
                <c:pt idx="5">
                  <c:v>4.782274144942928E-2</c:v>
                </c:pt>
                <c:pt idx="6">
                  <c:v>4.9533016767458402E-2</c:v>
                </c:pt>
              </c:numCache>
            </c:numRef>
          </c:val>
          <c:extLst>
            <c:ext xmlns:c16="http://schemas.microsoft.com/office/drawing/2014/chart" uri="{C3380CC4-5D6E-409C-BE32-E72D297353CC}">
              <c16:uniqueId val="{00000004-8204-407C-8E0A-AE557D8C4C16}"/>
            </c:ext>
          </c:extLst>
        </c:ser>
        <c:ser>
          <c:idx val="5"/>
          <c:order val="5"/>
          <c:tx>
            <c:strRef>
              <c:f>'U10m pots and traps'!$C$98</c:f>
              <c:strCache>
                <c:ptCount val="1"/>
                <c:pt idx="0">
                  <c:v>Others</c:v>
                </c:pt>
              </c:strCache>
            </c:strRef>
          </c:tx>
          <c:spPr>
            <a:solidFill>
              <a:srgbClr val="55585A"/>
            </a:solidFill>
            <a:ln>
              <a:solidFill>
                <a:srgbClr val="FFFFFF"/>
              </a:solidFill>
            </a:ln>
          </c:spPr>
          <c:invertIfNegative val="0"/>
          <c:cat>
            <c:numRef>
              <c:f>'U10m pots and traps'!$D$92:$M$92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pots and traps'!$D$98:$M$98</c:f>
              <c:numCache>
                <c:formatCode>0%</c:formatCode>
                <c:ptCount val="10"/>
                <c:pt idx="0">
                  <c:v>7.0069662305799529E-2</c:v>
                </c:pt>
                <c:pt idx="1">
                  <c:v>7.2221171342572082E-2</c:v>
                </c:pt>
                <c:pt idx="2">
                  <c:v>8.7461814144475541E-2</c:v>
                </c:pt>
                <c:pt idx="3">
                  <c:v>0.11313509690443488</c:v>
                </c:pt>
                <c:pt idx="4">
                  <c:v>7.9422154456044336E-2</c:v>
                </c:pt>
                <c:pt idx="5">
                  <c:v>9.2490467141442823E-2</c:v>
                </c:pt>
                <c:pt idx="6">
                  <c:v>0.11151128181405086</c:v>
                </c:pt>
                <c:pt idx="7">
                  <c:v>0.13598756284971927</c:v>
                </c:pt>
                <c:pt idx="8">
                  <c:v>0.12510822918804371</c:v>
                </c:pt>
                <c:pt idx="9">
                  <c:v>0.11138916739611357</c:v>
                </c:pt>
              </c:numCache>
            </c:numRef>
          </c:val>
          <c:extLst>
            <c:ext xmlns:c16="http://schemas.microsoft.com/office/drawing/2014/chart" uri="{C3380CC4-5D6E-409C-BE32-E72D297353CC}">
              <c16:uniqueId val="{00000005-8204-407C-8E0A-AE557D8C4C16}"/>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pots and traps'!$B$163</c:f>
              <c:strCache>
                <c:ptCount val="1"/>
                <c:pt idx="0">
                  <c:v>Whelks</c:v>
                </c:pt>
              </c:strCache>
            </c:strRef>
          </c:tx>
          <c:spPr>
            <a:solidFill>
              <a:srgbClr val="648C2E"/>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traps'!$C$163:$E$163</c:f>
              <c:numCache>
                <c:formatCode>0%</c:formatCode>
                <c:ptCount val="3"/>
                <c:pt idx="0">
                  <c:v>0.52152340330228253</c:v>
                </c:pt>
                <c:pt idx="1">
                  <c:v>0.38799304764876869</c:v>
                </c:pt>
                <c:pt idx="2">
                  <c:v>0.19372365801157593</c:v>
                </c:pt>
              </c:numCache>
            </c:numRef>
          </c:val>
          <c:extLst>
            <c:ext xmlns:c16="http://schemas.microsoft.com/office/drawing/2014/chart" uri="{C3380CC4-5D6E-409C-BE32-E72D297353CC}">
              <c16:uniqueId val="{00000000-98DF-4BD5-BF43-68F1D10FBD1F}"/>
            </c:ext>
          </c:extLst>
        </c:ser>
        <c:ser>
          <c:idx val="1"/>
          <c:order val="1"/>
          <c:tx>
            <c:strRef>
              <c:f>'U10m pots and traps'!$B$164</c:f>
              <c:strCache>
                <c:ptCount val="1"/>
                <c:pt idx="0">
                  <c:v>Brown Crab</c:v>
                </c:pt>
              </c:strCache>
            </c:strRef>
          </c:tx>
          <c:spPr>
            <a:solidFill>
              <a:srgbClr val="E87308"/>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traps'!$C$164:$E$164</c:f>
              <c:numCache>
                <c:formatCode>0%</c:formatCode>
                <c:ptCount val="3"/>
                <c:pt idx="0">
                  <c:v>0.26222873481671655</c:v>
                </c:pt>
                <c:pt idx="1">
                  <c:v>0.34340117722850333</c:v>
                </c:pt>
                <c:pt idx="2">
                  <c:v>0.29407569843949471</c:v>
                </c:pt>
              </c:numCache>
            </c:numRef>
          </c:val>
          <c:extLst>
            <c:ext xmlns:c16="http://schemas.microsoft.com/office/drawing/2014/chart" uri="{C3380CC4-5D6E-409C-BE32-E72D297353CC}">
              <c16:uniqueId val="{00000001-98DF-4BD5-BF43-68F1D10FBD1F}"/>
            </c:ext>
          </c:extLst>
        </c:ser>
        <c:ser>
          <c:idx val="2"/>
          <c:order val="2"/>
          <c:tx>
            <c:strRef>
              <c:f>'U10m pots and traps'!$B$165</c:f>
              <c:strCache>
                <c:ptCount val="1"/>
                <c:pt idx="0">
                  <c:v>Lobsters</c:v>
                </c:pt>
              </c:strCache>
            </c:strRef>
          </c:tx>
          <c:spPr>
            <a:solidFill>
              <a:srgbClr val="2273B9"/>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traps'!$C$165:$E$165</c:f>
              <c:numCache>
                <c:formatCode>0%</c:formatCode>
                <c:ptCount val="3"/>
                <c:pt idx="0">
                  <c:v>9.284030065265475E-2</c:v>
                </c:pt>
                <c:pt idx="1">
                  <c:v>8.6153196821195793E-2</c:v>
                </c:pt>
                <c:pt idx="2">
                  <c:v>9.7988194373572049E-2</c:v>
                </c:pt>
              </c:numCache>
            </c:numRef>
          </c:val>
          <c:extLst>
            <c:ext xmlns:c16="http://schemas.microsoft.com/office/drawing/2014/chart" uri="{C3380CC4-5D6E-409C-BE32-E72D297353CC}">
              <c16:uniqueId val="{00000002-98DF-4BD5-BF43-68F1D10FBD1F}"/>
            </c:ext>
          </c:extLst>
        </c:ser>
        <c:ser>
          <c:idx val="3"/>
          <c:order val="3"/>
          <c:tx>
            <c:strRef>
              <c:f>'U10m pots and traps'!$B$166</c:f>
              <c:strCache>
                <c:ptCount val="1"/>
                <c:pt idx="0">
                  <c:v>Velvet Crab</c:v>
                </c:pt>
              </c:strCache>
            </c:strRef>
          </c:tx>
          <c:spPr>
            <a:solidFill>
              <a:srgbClr val="E84A38"/>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traps'!$C$166:$E$166</c:f>
              <c:numCache>
                <c:formatCode>0%</c:formatCode>
                <c:ptCount val="3"/>
                <c:pt idx="0">
                  <c:v>4.5695179213219909E-2</c:v>
                </c:pt>
                <c:pt idx="1">
                  <c:v>6.5612880520892203E-2</c:v>
                </c:pt>
                <c:pt idx="2">
                  <c:v>0.19438012724181356</c:v>
                </c:pt>
              </c:numCache>
            </c:numRef>
          </c:val>
          <c:extLst>
            <c:ext xmlns:c16="http://schemas.microsoft.com/office/drawing/2014/chart" uri="{C3380CC4-5D6E-409C-BE32-E72D297353CC}">
              <c16:uniqueId val="{00000003-98DF-4BD5-BF43-68F1D10FBD1F}"/>
            </c:ext>
          </c:extLst>
        </c:ser>
        <c:ser>
          <c:idx val="4"/>
          <c:order val="4"/>
          <c:tx>
            <c:strRef>
              <c:f>'U10m pots and traps'!$B$167</c:f>
              <c:strCache>
                <c:ptCount val="1"/>
                <c:pt idx="0">
                  <c:v>Nephrops</c:v>
                </c:pt>
              </c:strCache>
            </c:strRef>
          </c:tx>
          <c:spPr>
            <a:solidFill>
              <a:srgbClr val="C1D119"/>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traps'!$C$167:$E$167</c:f>
              <c:numCache>
                <c:formatCode>0%</c:formatCode>
                <c:ptCount val="3"/>
                <c:pt idx="0">
                  <c:v>2.5659023044042242E-2</c:v>
                </c:pt>
                <c:pt idx="1">
                  <c:v>4.4737416823279814E-2</c:v>
                </c:pt>
                <c:pt idx="2">
                  <c:v>0</c:v>
                </c:pt>
              </c:numCache>
            </c:numRef>
          </c:val>
          <c:extLst>
            <c:ext xmlns:c16="http://schemas.microsoft.com/office/drawing/2014/chart" uri="{C3380CC4-5D6E-409C-BE32-E72D297353CC}">
              <c16:uniqueId val="{00000004-98DF-4BD5-BF43-68F1D10FBD1F}"/>
            </c:ext>
          </c:extLst>
        </c:ser>
        <c:ser>
          <c:idx val="5"/>
          <c:order val="5"/>
          <c:tx>
            <c:strRef>
              <c:f>'U10m pots and traps'!$B$168</c:f>
              <c:strCache>
                <c:ptCount val="1"/>
                <c:pt idx="0">
                  <c:v>Mackerel</c:v>
                </c:pt>
              </c:strCache>
            </c:strRef>
          </c:tx>
          <c:spPr>
            <a:solidFill>
              <a:srgbClr val="0F9AA9"/>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traps'!$C$168:$E$168</c:f>
              <c:numCache>
                <c:formatCode>0%</c:formatCode>
                <c:ptCount val="3"/>
                <c:pt idx="0">
                  <c:v>0</c:v>
                </c:pt>
                <c:pt idx="1">
                  <c:v>0</c:v>
                </c:pt>
                <c:pt idx="2">
                  <c:v>6.26326450921523E-2</c:v>
                </c:pt>
              </c:numCache>
            </c:numRef>
          </c:val>
          <c:extLst>
            <c:ext xmlns:c16="http://schemas.microsoft.com/office/drawing/2014/chart" uri="{C3380CC4-5D6E-409C-BE32-E72D297353CC}">
              <c16:uniqueId val="{00000005-98DF-4BD5-BF43-68F1D10FBD1F}"/>
            </c:ext>
          </c:extLst>
        </c:ser>
        <c:ser>
          <c:idx val="6"/>
          <c:order val="6"/>
          <c:tx>
            <c:strRef>
              <c:f>'U10m pots and traps'!$B$169</c:f>
              <c:strCache>
                <c:ptCount val="1"/>
                <c:pt idx="0">
                  <c:v>Others</c:v>
                </c:pt>
              </c:strCache>
            </c:strRef>
          </c:tx>
          <c:spPr>
            <a:solidFill>
              <a:srgbClr val="55585A"/>
            </a:solidFill>
            <a:ln>
              <a:solidFill>
                <a:srgbClr val="FFFFFF"/>
              </a:solidFill>
            </a:ln>
          </c:spPr>
          <c:invertIfNegative val="0"/>
          <c:cat>
            <c:strRef>
              <c:f>'U10m pots and traps'!$C$162:$E$162</c:f>
              <c:strCache>
                <c:ptCount val="3"/>
                <c:pt idx="0">
                  <c:v>Most
profitable
quartile</c:v>
                </c:pt>
                <c:pt idx="1">
                  <c:v>Middle 
two quartiles</c:v>
                </c:pt>
                <c:pt idx="2">
                  <c:v>Least
profitable
quartile</c:v>
                </c:pt>
              </c:strCache>
            </c:strRef>
          </c:cat>
          <c:val>
            <c:numRef>
              <c:f>'U10m pots and traps'!$C$169:$E$169</c:f>
              <c:numCache>
                <c:formatCode>0%</c:formatCode>
                <c:ptCount val="3"/>
                <c:pt idx="0">
                  <c:v>5.2053358971083985E-2</c:v>
                </c:pt>
                <c:pt idx="1">
                  <c:v>7.2102280957360154E-2</c:v>
                </c:pt>
                <c:pt idx="2">
                  <c:v>0.15719967684139136</c:v>
                </c:pt>
              </c:numCache>
            </c:numRef>
          </c:val>
          <c:extLst>
            <c:ext xmlns:c16="http://schemas.microsoft.com/office/drawing/2014/chart" uri="{C3380CC4-5D6E-409C-BE32-E72D297353CC}">
              <c16:uniqueId val="{00000006-98DF-4BD5-BF43-68F1D10FBD1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pots and traps'!$H$163</c:f>
              <c:strCache>
                <c:ptCount val="1"/>
                <c:pt idx="0">
                  <c:v>Lobsters</c:v>
                </c:pt>
              </c:strCache>
            </c:strRef>
          </c:tx>
          <c:spPr>
            <a:solidFill>
              <a:srgbClr val="2273B9"/>
            </a:solidFill>
            <a:ln>
              <a:solidFill>
                <a:srgbClr val="FFFFFF"/>
              </a:solidFill>
            </a:ln>
          </c:spPr>
          <c:invertIfNegative val="0"/>
          <c:cat>
            <c:strRef>
              <c:f>'U10m pots and traps'!$I$162:$K$162</c:f>
              <c:strCache>
                <c:ptCount val="3"/>
                <c:pt idx="0">
                  <c:v>Most
profitable
quartile</c:v>
                </c:pt>
                <c:pt idx="1">
                  <c:v>Middle 
two quartiles</c:v>
                </c:pt>
                <c:pt idx="2">
                  <c:v>Least
profitable
quartile</c:v>
                </c:pt>
              </c:strCache>
            </c:strRef>
          </c:cat>
          <c:val>
            <c:numRef>
              <c:f>'U10m pots and traps'!$I$163:$K$163</c:f>
              <c:numCache>
                <c:formatCode>0%</c:formatCode>
                <c:ptCount val="3"/>
                <c:pt idx="0">
                  <c:v>0.36910273396108056</c:v>
                </c:pt>
                <c:pt idx="1">
                  <c:v>0.39481008184463562</c:v>
                </c:pt>
                <c:pt idx="2">
                  <c:v>0.39773327493972399</c:v>
                </c:pt>
              </c:numCache>
            </c:numRef>
          </c:val>
          <c:extLst>
            <c:ext xmlns:c16="http://schemas.microsoft.com/office/drawing/2014/chart" uri="{C3380CC4-5D6E-409C-BE32-E72D297353CC}">
              <c16:uniqueId val="{00000000-5816-4C57-8791-D849D5880D52}"/>
            </c:ext>
          </c:extLst>
        </c:ser>
        <c:ser>
          <c:idx val="1"/>
          <c:order val="1"/>
          <c:tx>
            <c:strRef>
              <c:f>'U10m pots and traps'!$H$164</c:f>
              <c:strCache>
                <c:ptCount val="1"/>
                <c:pt idx="0">
                  <c:v>Brown Crab</c:v>
                </c:pt>
              </c:strCache>
            </c:strRef>
          </c:tx>
          <c:spPr>
            <a:solidFill>
              <a:srgbClr val="E87308"/>
            </a:solidFill>
            <a:ln>
              <a:solidFill>
                <a:srgbClr val="FFFFFF"/>
              </a:solidFill>
            </a:ln>
          </c:spPr>
          <c:invertIfNegative val="0"/>
          <c:cat>
            <c:strRef>
              <c:f>'U10m pots and traps'!$I$162:$K$162</c:f>
              <c:strCache>
                <c:ptCount val="3"/>
                <c:pt idx="0">
                  <c:v>Most
profitable
quartile</c:v>
                </c:pt>
                <c:pt idx="1">
                  <c:v>Middle 
two quartiles</c:v>
                </c:pt>
                <c:pt idx="2">
                  <c:v>Least
profitable
quartile</c:v>
                </c:pt>
              </c:strCache>
            </c:strRef>
          </c:cat>
          <c:val>
            <c:numRef>
              <c:f>'U10m pots and traps'!$I$164:$K$164</c:f>
              <c:numCache>
                <c:formatCode>0%</c:formatCode>
                <c:ptCount val="3"/>
                <c:pt idx="0">
                  <c:v>0.14963589219395321</c:v>
                </c:pt>
                <c:pt idx="1">
                  <c:v>0.23861040582989981</c:v>
                </c:pt>
                <c:pt idx="2">
                  <c:v>0.17808221833680707</c:v>
                </c:pt>
              </c:numCache>
            </c:numRef>
          </c:val>
          <c:extLst>
            <c:ext xmlns:c16="http://schemas.microsoft.com/office/drawing/2014/chart" uri="{C3380CC4-5D6E-409C-BE32-E72D297353CC}">
              <c16:uniqueId val="{00000001-5816-4C57-8791-D849D5880D52}"/>
            </c:ext>
          </c:extLst>
        </c:ser>
        <c:ser>
          <c:idx val="2"/>
          <c:order val="2"/>
          <c:tx>
            <c:strRef>
              <c:f>'U10m pots and traps'!$H$165</c:f>
              <c:strCache>
                <c:ptCount val="1"/>
                <c:pt idx="0">
                  <c:v>Nephrops</c:v>
                </c:pt>
              </c:strCache>
            </c:strRef>
          </c:tx>
          <c:spPr>
            <a:solidFill>
              <a:srgbClr val="C1D119"/>
            </a:solidFill>
            <a:ln>
              <a:solidFill>
                <a:srgbClr val="FFFFFF"/>
              </a:solidFill>
            </a:ln>
          </c:spPr>
          <c:invertIfNegative val="0"/>
          <c:cat>
            <c:strRef>
              <c:f>'U10m pots and traps'!$I$162:$K$162</c:f>
              <c:strCache>
                <c:ptCount val="3"/>
                <c:pt idx="0">
                  <c:v>Most
profitable
quartile</c:v>
                </c:pt>
                <c:pt idx="1">
                  <c:v>Middle 
two quartiles</c:v>
                </c:pt>
                <c:pt idx="2">
                  <c:v>Least
profitable
quartile</c:v>
                </c:pt>
              </c:strCache>
            </c:strRef>
          </c:cat>
          <c:val>
            <c:numRef>
              <c:f>'U10m pots and traps'!$I$165:$K$165</c:f>
              <c:numCache>
                <c:formatCode>0%</c:formatCode>
                <c:ptCount val="3"/>
                <c:pt idx="0">
                  <c:v>6.8680666941539403E-2</c:v>
                </c:pt>
                <c:pt idx="1">
                  <c:v>0.13941001168376699</c:v>
                </c:pt>
                <c:pt idx="2">
                  <c:v>0.16545464246051519</c:v>
                </c:pt>
              </c:numCache>
            </c:numRef>
          </c:val>
          <c:extLst>
            <c:ext xmlns:c16="http://schemas.microsoft.com/office/drawing/2014/chart" uri="{C3380CC4-5D6E-409C-BE32-E72D297353CC}">
              <c16:uniqueId val="{00000002-5816-4C57-8791-D849D5880D52}"/>
            </c:ext>
          </c:extLst>
        </c:ser>
        <c:ser>
          <c:idx val="3"/>
          <c:order val="3"/>
          <c:tx>
            <c:strRef>
              <c:f>'U10m pots and traps'!$H$166</c:f>
              <c:strCache>
                <c:ptCount val="1"/>
                <c:pt idx="0">
                  <c:v>Whelks</c:v>
                </c:pt>
              </c:strCache>
            </c:strRef>
          </c:tx>
          <c:spPr>
            <a:solidFill>
              <a:srgbClr val="648C2E"/>
            </a:solidFill>
            <a:ln>
              <a:solidFill>
                <a:srgbClr val="FFFFFF"/>
              </a:solidFill>
            </a:ln>
          </c:spPr>
          <c:invertIfNegative val="0"/>
          <c:cat>
            <c:strRef>
              <c:f>'U10m pots and traps'!$I$162:$K$162</c:f>
              <c:strCache>
                <c:ptCount val="3"/>
                <c:pt idx="0">
                  <c:v>Most
profitable
quartile</c:v>
                </c:pt>
                <c:pt idx="1">
                  <c:v>Middle 
two quartiles</c:v>
                </c:pt>
                <c:pt idx="2">
                  <c:v>Least
profitable
quartile</c:v>
                </c:pt>
              </c:strCache>
            </c:strRef>
          </c:cat>
          <c:val>
            <c:numRef>
              <c:f>'U10m pots and traps'!$I$166:$K$166</c:f>
              <c:numCache>
                <c:formatCode>0%</c:formatCode>
                <c:ptCount val="3"/>
                <c:pt idx="0">
                  <c:v>0.14885645982031503</c:v>
                </c:pt>
                <c:pt idx="1">
                  <c:v>0.12407462880123164</c:v>
                </c:pt>
                <c:pt idx="2">
                  <c:v>4.867780856853169E-2</c:v>
                </c:pt>
              </c:numCache>
            </c:numRef>
          </c:val>
          <c:extLst>
            <c:ext xmlns:c16="http://schemas.microsoft.com/office/drawing/2014/chart" uri="{C3380CC4-5D6E-409C-BE32-E72D297353CC}">
              <c16:uniqueId val="{00000003-5816-4C57-8791-D849D5880D52}"/>
            </c:ext>
          </c:extLst>
        </c:ser>
        <c:ser>
          <c:idx val="4"/>
          <c:order val="4"/>
          <c:tx>
            <c:strRef>
              <c:f>'U10m pots and traps'!$H$167</c:f>
              <c:strCache>
                <c:ptCount val="1"/>
                <c:pt idx="0">
                  <c:v>Velvet Crab</c:v>
                </c:pt>
              </c:strCache>
            </c:strRef>
          </c:tx>
          <c:spPr>
            <a:solidFill>
              <a:srgbClr val="E84A38"/>
            </a:solidFill>
            <a:ln>
              <a:solidFill>
                <a:srgbClr val="FFFFFF"/>
              </a:solidFill>
            </a:ln>
          </c:spPr>
          <c:invertIfNegative val="0"/>
          <c:cat>
            <c:strRef>
              <c:f>'U10m pots and traps'!$I$162:$K$162</c:f>
              <c:strCache>
                <c:ptCount val="3"/>
                <c:pt idx="0">
                  <c:v>Most
profitable
quartile</c:v>
                </c:pt>
                <c:pt idx="1">
                  <c:v>Middle 
two quartiles</c:v>
                </c:pt>
                <c:pt idx="2">
                  <c:v>Least
profitable
quartile</c:v>
                </c:pt>
              </c:strCache>
            </c:strRef>
          </c:cat>
          <c:val>
            <c:numRef>
              <c:f>'U10m pots and traps'!$I$167:$K$167</c:f>
              <c:numCache>
                <c:formatCode>0%</c:formatCode>
                <c:ptCount val="3"/>
                <c:pt idx="0">
                  <c:v>0</c:v>
                </c:pt>
                <c:pt idx="1">
                  <c:v>5.7068498842437185E-2</c:v>
                </c:pt>
                <c:pt idx="2">
                  <c:v>0.14081722564275115</c:v>
                </c:pt>
              </c:numCache>
            </c:numRef>
          </c:val>
          <c:extLst>
            <c:ext xmlns:c16="http://schemas.microsoft.com/office/drawing/2014/chart" uri="{C3380CC4-5D6E-409C-BE32-E72D297353CC}">
              <c16:uniqueId val="{00000004-5816-4C57-8791-D849D5880D52}"/>
            </c:ext>
          </c:extLst>
        </c:ser>
        <c:ser>
          <c:idx val="5"/>
          <c:order val="5"/>
          <c:tx>
            <c:strRef>
              <c:f>'U10m pots and traps'!$H$168</c:f>
              <c:strCache>
                <c:ptCount val="1"/>
                <c:pt idx="0">
                  <c:v>Others</c:v>
                </c:pt>
              </c:strCache>
            </c:strRef>
          </c:tx>
          <c:spPr>
            <a:solidFill>
              <a:srgbClr val="55585A"/>
            </a:solidFill>
            <a:ln>
              <a:solidFill>
                <a:srgbClr val="FFFFFF"/>
              </a:solidFill>
            </a:ln>
          </c:spPr>
          <c:invertIfNegative val="0"/>
          <c:cat>
            <c:strRef>
              <c:f>'U10m pots and traps'!$I$162:$K$162</c:f>
              <c:strCache>
                <c:ptCount val="3"/>
                <c:pt idx="0">
                  <c:v>Most
profitable
quartile</c:v>
                </c:pt>
                <c:pt idx="1">
                  <c:v>Middle 
two quartiles</c:v>
                </c:pt>
                <c:pt idx="2">
                  <c:v>Least
profitable
quartile</c:v>
                </c:pt>
              </c:strCache>
            </c:strRef>
          </c:cat>
          <c:val>
            <c:numRef>
              <c:f>'U10m pots and traps'!$I$168:$K$168</c:f>
              <c:numCache>
                <c:formatCode>0%</c:formatCode>
                <c:ptCount val="3"/>
                <c:pt idx="0">
                  <c:v>0.10911543465837148</c:v>
                </c:pt>
                <c:pt idx="1">
                  <c:v>4.6026372998028808E-2</c:v>
                </c:pt>
                <c:pt idx="2">
                  <c:v>6.923483005167097E-2</c:v>
                </c:pt>
              </c:numCache>
            </c:numRef>
          </c:val>
          <c:extLst>
            <c:ext xmlns:c16="http://schemas.microsoft.com/office/drawing/2014/chart" uri="{C3380CC4-5D6E-409C-BE32-E72D297353CC}">
              <c16:uniqueId val="{00000005-5816-4C57-8791-D849D5880D52}"/>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pots and traps'!$K$140</c:f>
              <c:strCache>
                <c:ptCount val="1"/>
                <c:pt idx="0">
                  <c:v>Total income</c:v>
                </c:pt>
              </c:strCache>
            </c:strRef>
          </c:tx>
          <c:spPr>
            <a:solidFill>
              <a:srgbClr val="087CBB"/>
            </a:solidFill>
            <a:ln>
              <a:solidFill>
                <a:schemeClr val="accent1"/>
              </a:solidFill>
            </a:ln>
          </c:spPr>
          <c:invertIfNegative val="0"/>
          <c:cat>
            <c:strRef>
              <c:f>'U10m pots and traps'!$L$139:$N$139</c:f>
              <c:strCache>
                <c:ptCount val="3"/>
                <c:pt idx="0">
                  <c:v>Most
profitable
quartile</c:v>
                </c:pt>
                <c:pt idx="1">
                  <c:v>Middle
two quartiles</c:v>
                </c:pt>
                <c:pt idx="2">
                  <c:v>Least
profitable
quartile</c:v>
                </c:pt>
              </c:strCache>
            </c:strRef>
          </c:cat>
          <c:val>
            <c:numRef>
              <c:f>'U10m pots and traps'!$L$140:$N$140</c:f>
              <c:numCache>
                <c:formatCode>#,##0</c:formatCode>
                <c:ptCount val="3"/>
                <c:pt idx="0">
                  <c:v>123.2526015625</c:v>
                </c:pt>
                <c:pt idx="1">
                  <c:v>71.867294864922798</c:v>
                </c:pt>
                <c:pt idx="2">
                  <c:v>33.590210937499997</c:v>
                </c:pt>
              </c:numCache>
            </c:numRef>
          </c:val>
          <c:extLst>
            <c:ext xmlns:c16="http://schemas.microsoft.com/office/drawing/2014/chart" uri="{C3380CC4-5D6E-409C-BE32-E72D297353CC}">
              <c16:uniqueId val="{00000000-1823-405D-929B-0E07B2D7813E}"/>
            </c:ext>
          </c:extLst>
        </c:ser>
        <c:ser>
          <c:idx val="1"/>
          <c:order val="1"/>
          <c:tx>
            <c:strRef>
              <c:f>'U10m pots and traps'!$K$141</c:f>
              <c:strCache>
                <c:ptCount val="1"/>
                <c:pt idx="0">
                  <c:v>Operating costs</c:v>
                </c:pt>
              </c:strCache>
            </c:strRef>
          </c:tx>
          <c:spPr>
            <a:solidFill>
              <a:srgbClr val="E87308"/>
            </a:solidFill>
          </c:spPr>
          <c:invertIfNegative val="0"/>
          <c:cat>
            <c:strRef>
              <c:f>'U10m pots and traps'!$L$139:$N$139</c:f>
              <c:strCache>
                <c:ptCount val="3"/>
                <c:pt idx="0">
                  <c:v>Most
profitable
quartile</c:v>
                </c:pt>
                <c:pt idx="1">
                  <c:v>Middle
two quartiles</c:v>
                </c:pt>
                <c:pt idx="2">
                  <c:v>Least
profitable
quartile</c:v>
                </c:pt>
              </c:strCache>
            </c:strRef>
          </c:cat>
          <c:val>
            <c:numRef>
              <c:f>'U10m pots and traps'!$L$141:$N$141</c:f>
              <c:numCache>
                <c:formatCode>#,##0</c:formatCode>
                <c:ptCount val="3"/>
                <c:pt idx="0">
                  <c:v>79.494398437499996</c:v>
                </c:pt>
                <c:pt idx="1">
                  <c:v>50.191194086352901</c:v>
                </c:pt>
                <c:pt idx="2">
                  <c:v>26.999339843750001</c:v>
                </c:pt>
              </c:numCache>
            </c:numRef>
          </c:val>
          <c:extLst>
            <c:ext xmlns:c16="http://schemas.microsoft.com/office/drawing/2014/chart" uri="{C3380CC4-5D6E-409C-BE32-E72D297353CC}">
              <c16:uniqueId val="{00000001-1823-405D-929B-0E07B2D7813E}"/>
            </c:ext>
          </c:extLst>
        </c:ser>
        <c:ser>
          <c:idx val="2"/>
          <c:order val="2"/>
          <c:tx>
            <c:strRef>
              <c:f>'U10m pots and traps'!$K$142</c:f>
              <c:strCache>
                <c:ptCount val="1"/>
                <c:pt idx="0">
                  <c:v>Operating profit</c:v>
                </c:pt>
              </c:strCache>
            </c:strRef>
          </c:tx>
          <c:spPr>
            <a:solidFill>
              <a:srgbClr val="51AA81"/>
            </a:solidFill>
          </c:spPr>
          <c:invertIfNegative val="0"/>
          <c:cat>
            <c:strRef>
              <c:f>'U10m pots and traps'!$L$139:$N$139</c:f>
              <c:strCache>
                <c:ptCount val="3"/>
                <c:pt idx="0">
                  <c:v>Most
profitable
quartile</c:v>
                </c:pt>
                <c:pt idx="1">
                  <c:v>Middle
two quartiles</c:v>
                </c:pt>
                <c:pt idx="2">
                  <c:v>Least
profitable
quartile</c:v>
                </c:pt>
              </c:strCache>
            </c:strRef>
          </c:cat>
          <c:val>
            <c:numRef>
              <c:f>'U10m pots and traps'!$L$142:$N$142</c:f>
              <c:numCache>
                <c:formatCode>#,##0</c:formatCode>
                <c:ptCount val="3"/>
                <c:pt idx="0">
                  <c:v>43.758203125000001</c:v>
                </c:pt>
                <c:pt idx="1">
                  <c:v>21.6761007785699</c:v>
                </c:pt>
                <c:pt idx="2">
                  <c:v>6.5908710937499997</c:v>
                </c:pt>
              </c:numCache>
            </c:numRef>
          </c:val>
          <c:extLst>
            <c:ext xmlns:c16="http://schemas.microsoft.com/office/drawing/2014/chart" uri="{C3380CC4-5D6E-409C-BE32-E72D297353CC}">
              <c16:uniqueId val="{00000002-1823-405D-929B-0E07B2D7813E}"/>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pots and traps'!$K$143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hooks'!$A$49</c:f>
          <c:strCache>
            <c:ptCount val="1"/>
            <c:pt idx="0">
              <c:v>Landings per kW day at sea (kg)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B91-484B-9254-B34CD1994F7E}"/>
              </c:ext>
            </c:extLst>
          </c:dPt>
          <c:dPt>
            <c:idx val="10"/>
            <c:bubble3D val="0"/>
            <c:spPr>
              <a:ln w="57150">
                <a:solidFill>
                  <a:srgbClr val="2273B9"/>
                </a:solidFill>
                <a:prstDash val="sysDot"/>
              </a:ln>
            </c:spPr>
            <c:extLst>
              <c:ext xmlns:c16="http://schemas.microsoft.com/office/drawing/2014/chart" uri="{C3380CC4-5D6E-409C-BE32-E72D297353CC}">
                <c16:uniqueId val="{00000003-BB91-484B-9254-B34CD1994F7E}"/>
              </c:ext>
            </c:extLst>
          </c:dPt>
          <c:cat>
            <c:numRef>
              <c:f>'U10m using hooks'!$D$2:$N$2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using hooks'!$D$22:$N$22</c:f>
              <c:numCache>
                <c:formatCode>#,##0.00</c:formatCode>
                <c:ptCount val="11"/>
                <c:pt idx="0">
                  <c:v>2.7087423323182365</c:v>
                </c:pt>
                <c:pt idx="1">
                  <c:v>2.5935504710701149</c:v>
                </c:pt>
                <c:pt idx="2">
                  <c:v>2.0713362400375117</c:v>
                </c:pt>
                <c:pt idx="3">
                  <c:v>2.0257278588801708</c:v>
                </c:pt>
                <c:pt idx="4">
                  <c:v>2.6023814536979004</c:v>
                </c:pt>
                <c:pt idx="5">
                  <c:v>3.0877170519167412</c:v>
                </c:pt>
                <c:pt idx="6">
                  <c:v>2.742211919582441</c:v>
                </c:pt>
                <c:pt idx="7">
                  <c:v>2.9807967280561907</c:v>
                </c:pt>
                <c:pt idx="8">
                  <c:v>3.0960768522144533</c:v>
                </c:pt>
                <c:pt idx="9">
                  <c:v>2.8205754107382073</c:v>
                </c:pt>
                <c:pt idx="10">
                  <c:v>2.9460554767619422</c:v>
                </c:pt>
              </c:numCache>
            </c:numRef>
          </c:val>
          <c:smooth val="0"/>
          <c:extLst>
            <c:ext xmlns:c16="http://schemas.microsoft.com/office/drawing/2014/chart" uri="{C3380CC4-5D6E-409C-BE32-E72D297353CC}">
              <c16:uniqueId val="{00000004-BB91-484B-9254-B34CD1994F7E}"/>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hooks'!$A$50</c:f>
          <c:strCache>
            <c:ptCount val="1"/>
            <c:pt idx="0">
              <c:v>Fishing income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709B-48D4-B1FD-8F06CE94187E}"/>
              </c:ext>
            </c:extLst>
          </c:dPt>
          <c:dPt>
            <c:idx val="10"/>
            <c:bubble3D val="0"/>
            <c:spPr>
              <a:ln w="57150">
                <a:solidFill>
                  <a:srgbClr val="648C2E"/>
                </a:solidFill>
                <a:prstDash val="sysDot"/>
              </a:ln>
            </c:spPr>
            <c:extLst>
              <c:ext xmlns:c16="http://schemas.microsoft.com/office/drawing/2014/chart" uri="{C3380CC4-5D6E-409C-BE32-E72D297353CC}">
                <c16:uniqueId val="{00000003-709B-48D4-B1FD-8F06CE94187E}"/>
              </c:ext>
            </c:extLst>
          </c:dPt>
          <c:cat>
            <c:numRef>
              <c:f>'U10m using hooks'!$D$2:$N$2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using hooks'!$D$23:$N$23</c:f>
              <c:numCache>
                <c:formatCode>#,##0.00</c:formatCode>
                <c:ptCount val="11"/>
                <c:pt idx="0">
                  <c:v>9.2047020823692005</c:v>
                </c:pt>
                <c:pt idx="1">
                  <c:v>9.0933239356911404</c:v>
                </c:pt>
                <c:pt idx="2">
                  <c:v>7.7211887012177698</c:v>
                </c:pt>
                <c:pt idx="3">
                  <c:v>7.3523876963256098</c:v>
                </c:pt>
                <c:pt idx="4">
                  <c:v>9.2179013030251191</c:v>
                </c:pt>
                <c:pt idx="5">
                  <c:v>10.9161455434619</c:v>
                </c:pt>
                <c:pt idx="6">
                  <c:v>11.937864286218</c:v>
                </c:pt>
                <c:pt idx="7">
                  <c:v>13.394807354684801</c:v>
                </c:pt>
                <c:pt idx="8">
                  <c:v>11.3615404548946</c:v>
                </c:pt>
                <c:pt idx="9">
                  <c:v>11.9710745602403</c:v>
                </c:pt>
                <c:pt idx="10">
                  <c:v>13.432870194258349</c:v>
                </c:pt>
              </c:numCache>
            </c:numRef>
          </c:val>
          <c:smooth val="0"/>
          <c:extLst>
            <c:ext xmlns:c16="http://schemas.microsoft.com/office/drawing/2014/chart" uri="{C3380CC4-5D6E-409C-BE32-E72D297353CC}">
              <c16:uniqueId val="{00000004-709B-48D4-B1FD-8F06CE94187E}"/>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hooks'!$B$63</c:f>
          <c:strCache>
            <c:ptCount val="1"/>
            <c:pt idx="0">
              <c:v>Total cost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2A7D-404B-93E8-AC3A7B83652A}"/>
              </c:ext>
            </c:extLst>
          </c:dPt>
          <c:dPt>
            <c:idx val="10"/>
            <c:bubble3D val="0"/>
            <c:spPr>
              <a:ln w="57150">
                <a:solidFill>
                  <a:srgbClr val="087CBB"/>
                </a:solidFill>
                <a:prstDash val="sysDot"/>
              </a:ln>
            </c:spPr>
            <c:extLst>
              <c:ext xmlns:c16="http://schemas.microsoft.com/office/drawing/2014/chart" uri="{C3380CC4-5D6E-409C-BE32-E72D297353CC}">
                <c16:uniqueId val="{00000003-2A7D-404B-93E8-AC3A7B83652A}"/>
              </c:ext>
            </c:extLst>
          </c:dPt>
          <c:cat>
            <c:numRef>
              <c:f>'U10m using hooks'!$D$2:$N$2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using hooks'!$D$24:$N$24</c:f>
              <c:numCache>
                <c:formatCode>#,##0.00</c:formatCode>
                <c:ptCount val="11"/>
                <c:pt idx="0">
                  <c:v>7.7010493658665498</c:v>
                </c:pt>
                <c:pt idx="1">
                  <c:v>7.4626000512441797</c:v>
                </c:pt>
                <c:pt idx="2">
                  <c:v>5.7217812237081702</c:v>
                </c:pt>
                <c:pt idx="3">
                  <c:v>4.9905452965053696</c:v>
                </c:pt>
                <c:pt idx="4">
                  <c:v>5.8712856964002897</c:v>
                </c:pt>
                <c:pt idx="5">
                  <c:v>8.0652467230742992</c:v>
                </c:pt>
                <c:pt idx="6">
                  <c:v>8.6536496595122898</c:v>
                </c:pt>
                <c:pt idx="7">
                  <c:v>9.1200596334123905</c:v>
                </c:pt>
                <c:pt idx="8">
                  <c:v>9.4725116524180404</c:v>
                </c:pt>
                <c:pt idx="9">
                  <c:v>7.3562837046457901</c:v>
                </c:pt>
                <c:pt idx="10">
                  <c:v>8.5078269516738416</c:v>
                </c:pt>
              </c:numCache>
            </c:numRef>
          </c:val>
          <c:smooth val="0"/>
          <c:extLst>
            <c:ext xmlns:c16="http://schemas.microsoft.com/office/drawing/2014/chart" uri="{C3380CC4-5D6E-409C-BE32-E72D297353CC}">
              <c16:uniqueId val="{00000004-2A7D-404B-93E8-AC3A7B83652A}"/>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hooks'!$K$49</c:f>
          <c:strCache>
            <c:ptCount val="1"/>
            <c:pt idx="0">
              <c:v>Operating profit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4A4-42D2-8C67-D10967F8D494}"/>
              </c:ext>
            </c:extLst>
          </c:dPt>
          <c:dPt>
            <c:idx val="10"/>
            <c:bubble3D val="0"/>
            <c:spPr>
              <a:ln w="57150">
                <a:solidFill>
                  <a:schemeClr val="accent3"/>
                </a:solidFill>
                <a:prstDash val="sysDot"/>
              </a:ln>
            </c:spPr>
            <c:extLst>
              <c:ext xmlns:c16="http://schemas.microsoft.com/office/drawing/2014/chart" uri="{C3380CC4-5D6E-409C-BE32-E72D297353CC}">
                <c16:uniqueId val="{00000003-C4A4-42D2-8C67-D10967F8D494}"/>
              </c:ext>
            </c:extLst>
          </c:dPt>
          <c:cat>
            <c:numRef>
              <c:f>'U10m using hooks'!$D$2:$N$2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'U10m using hooks'!$D$25:$N$25</c:f>
              <c:numCache>
                <c:formatCode>#,##0.00</c:formatCode>
                <c:ptCount val="11"/>
                <c:pt idx="0">
                  <c:v>1.70764695810699</c:v>
                </c:pt>
                <c:pt idx="1">
                  <c:v>2.98430970464717</c:v>
                </c:pt>
                <c:pt idx="2">
                  <c:v>2.2656207674259599</c:v>
                </c:pt>
                <c:pt idx="3">
                  <c:v>2.4391599202292902</c:v>
                </c:pt>
                <c:pt idx="4">
                  <c:v>3.4105044976604599</c:v>
                </c:pt>
                <c:pt idx="5">
                  <c:v>3.5005624388690899</c:v>
                </c:pt>
                <c:pt idx="6">
                  <c:v>3.5004766602116599</c:v>
                </c:pt>
                <c:pt idx="7">
                  <c:v>4.4786545808532603</c:v>
                </c:pt>
                <c:pt idx="8">
                  <c:v>3.7292263909983299</c:v>
                </c:pt>
                <c:pt idx="9">
                  <c:v>4.78660894951157</c:v>
                </c:pt>
                <c:pt idx="10">
                  <c:v>5.0564643953299004</c:v>
                </c:pt>
              </c:numCache>
            </c:numRef>
          </c:val>
          <c:smooth val="0"/>
          <c:extLst>
            <c:ext xmlns:c16="http://schemas.microsoft.com/office/drawing/2014/chart" uri="{C3380CC4-5D6E-409C-BE32-E72D297353CC}">
              <c16:uniqueId val="{00000004-C4A4-42D2-8C67-D10967F8D494}"/>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hooks'!$A$51</c:f>
          <c:strCache>
            <c:ptCount val="1"/>
            <c:pt idx="0">
              <c:v>Average price per tonne landed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DD3-4403-B948-E831B8089A17}"/>
              </c:ext>
            </c:extLst>
          </c:dPt>
          <c:dPt>
            <c:idx val="10"/>
            <c:bubble3D val="0"/>
            <c:spPr>
              <a:ln w="57150">
                <a:solidFill>
                  <a:schemeClr val="accent4"/>
                </a:solidFill>
                <a:prstDash val="sysDot"/>
              </a:ln>
            </c:spPr>
            <c:extLst>
              <c:ext xmlns:c16="http://schemas.microsoft.com/office/drawing/2014/chart" uri="{C3380CC4-5D6E-409C-BE32-E72D297353CC}">
                <c16:uniqueId val="{00000003-4DD3-4403-B948-E831B8089A17}"/>
              </c:ext>
            </c:extLst>
          </c:dPt>
          <c:cat>
            <c:numRef>
              <c:f>'U10m using hooks'!$D$2:$M$2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hooks'!$D$21:$N$21</c:f>
              <c:numCache>
                <c:formatCode>#,##0</c:formatCode>
                <c:ptCount val="11"/>
                <c:pt idx="0">
                  <c:v>3398</c:v>
                </c:pt>
                <c:pt idx="1">
                  <c:v>3506</c:v>
                </c:pt>
                <c:pt idx="2">
                  <c:v>3728</c:v>
                </c:pt>
                <c:pt idx="3">
                  <c:v>3630</c:v>
                </c:pt>
                <c:pt idx="4">
                  <c:v>3542</c:v>
                </c:pt>
                <c:pt idx="5">
                  <c:v>3535</c:v>
                </c:pt>
                <c:pt idx="6">
                  <c:v>4353</c:v>
                </c:pt>
                <c:pt idx="7">
                  <c:v>4494</c:v>
                </c:pt>
                <c:pt idx="8">
                  <c:v>3670</c:v>
                </c:pt>
                <c:pt idx="9">
                  <c:v>4244</c:v>
                </c:pt>
                <c:pt idx="10">
                  <c:v>4560</c:v>
                </c:pt>
              </c:numCache>
            </c:numRef>
          </c:val>
          <c:smooth val="0"/>
          <c:extLst>
            <c:ext xmlns:c16="http://schemas.microsoft.com/office/drawing/2014/chart" uri="{C3380CC4-5D6E-409C-BE32-E72D297353CC}">
              <c16:uniqueId val="{00000004-4DD3-4403-B948-E831B8089A17}"/>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u250kW'!$C$93</c:f>
              <c:strCache>
                <c:ptCount val="1"/>
                <c:pt idx="0">
                  <c:v>Nephrops</c:v>
                </c:pt>
              </c:strCache>
            </c:strRef>
          </c:tx>
          <c:spPr>
            <a:solidFill>
              <a:srgbClr val="2273B9"/>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u250kW'!$D$93:$M$93</c:f>
              <c:numCache>
                <c:formatCode>0%</c:formatCode>
                <c:ptCount val="10"/>
                <c:pt idx="0">
                  <c:v>0.87362223867882838</c:v>
                </c:pt>
                <c:pt idx="1">
                  <c:v>0.90305949853469503</c:v>
                </c:pt>
                <c:pt idx="2">
                  <c:v>0.90278331713224658</c:v>
                </c:pt>
                <c:pt idx="3">
                  <c:v>0.84171029299929701</c:v>
                </c:pt>
                <c:pt idx="4">
                  <c:v>0.82702686970524386</c:v>
                </c:pt>
                <c:pt idx="5">
                  <c:v>0.83064250311910492</c:v>
                </c:pt>
                <c:pt idx="6">
                  <c:v>0.85010786607480737</c:v>
                </c:pt>
                <c:pt idx="7">
                  <c:v>0.86580456270638917</c:v>
                </c:pt>
                <c:pt idx="8">
                  <c:v>0.86817049292833692</c:v>
                </c:pt>
                <c:pt idx="9">
                  <c:v>0.84466947259629421</c:v>
                </c:pt>
              </c:numCache>
            </c:numRef>
          </c:val>
          <c:extLst>
            <c:ext xmlns:c16="http://schemas.microsoft.com/office/drawing/2014/chart" uri="{C3380CC4-5D6E-409C-BE32-E72D297353CC}">
              <c16:uniqueId val="{00000000-4DCE-4510-BADE-46A83E0C1348}"/>
            </c:ext>
          </c:extLst>
        </c:ser>
        <c:ser>
          <c:idx val="1"/>
          <c:order val="1"/>
          <c:tx>
            <c:strRef>
              <c:f>'Area VIIa nephrops u250kW'!$C$94</c:f>
              <c:strCache>
                <c:ptCount val="1"/>
                <c:pt idx="0">
                  <c:v>Scallops</c:v>
                </c:pt>
              </c:strCache>
            </c:strRef>
          </c:tx>
          <c:spPr>
            <a:solidFill>
              <a:srgbClr val="E87308"/>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u250kW'!$D$94:$M$94</c:f>
              <c:numCache>
                <c:formatCode>0%</c:formatCode>
                <c:ptCount val="10"/>
                <c:pt idx="0">
                  <c:v>6.2311719672642353E-2</c:v>
                </c:pt>
                <c:pt idx="1">
                  <c:v>6.8313504717746706E-2</c:v>
                </c:pt>
                <c:pt idx="2">
                  <c:v>6.9062931124094756E-2</c:v>
                </c:pt>
                <c:pt idx="3">
                  <c:v>0.1164819723874766</c:v>
                </c:pt>
                <c:pt idx="4">
                  <c:v>8.0093271909333422E-2</c:v>
                </c:pt>
                <c:pt idx="5">
                  <c:v>0.10175588599698468</c:v>
                </c:pt>
                <c:pt idx="6">
                  <c:v>7.6051398273432505E-2</c:v>
                </c:pt>
                <c:pt idx="7">
                  <c:v>7.6080037850680432E-2</c:v>
                </c:pt>
                <c:pt idx="8">
                  <c:v>6.403337499281192E-2</c:v>
                </c:pt>
                <c:pt idx="9">
                  <c:v>9.407221750411035E-2</c:v>
                </c:pt>
              </c:numCache>
            </c:numRef>
          </c:val>
          <c:extLst>
            <c:ext xmlns:c16="http://schemas.microsoft.com/office/drawing/2014/chart" uri="{C3380CC4-5D6E-409C-BE32-E72D297353CC}">
              <c16:uniqueId val="{00000001-4DCE-4510-BADE-46A83E0C1348}"/>
            </c:ext>
          </c:extLst>
        </c:ser>
        <c:ser>
          <c:idx val="2"/>
          <c:order val="2"/>
          <c:tx>
            <c:strRef>
              <c:f>'Area VIIa nephrops u250kW'!$C$95</c:f>
              <c:strCache>
                <c:ptCount val="1"/>
                <c:pt idx="0">
                  <c:v>Anglerfish</c:v>
                </c:pt>
              </c:strCache>
            </c:strRef>
          </c:tx>
          <c:spPr>
            <a:solidFill>
              <a:srgbClr val="648C2E"/>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u250kW'!$D$95:$M$95</c:f>
              <c:numCache>
                <c:formatCode>0%</c:formatCode>
                <c:ptCount val="10"/>
                <c:pt idx="0">
                  <c:v>9.5638870923398702E-3</c:v>
                </c:pt>
                <c:pt idx="1">
                  <c:v>7.1671041442173938E-3</c:v>
                </c:pt>
                <c:pt idx="2">
                  <c:v>4.9242666298980799E-3</c:v>
                </c:pt>
                <c:pt idx="3">
                  <c:v>9.0240590156490767E-3</c:v>
                </c:pt>
                <c:pt idx="4">
                  <c:v>1.6997022166080091E-2</c:v>
                </c:pt>
                <c:pt idx="5">
                  <c:v>1.7492875569921903E-2</c:v>
                </c:pt>
                <c:pt idx="6">
                  <c:v>1.3740184867891189E-2</c:v>
                </c:pt>
                <c:pt idx="7">
                  <c:v>1.3662752300049092E-2</c:v>
                </c:pt>
                <c:pt idx="8">
                  <c:v>1.449452425413586E-2</c:v>
                </c:pt>
                <c:pt idx="9">
                  <c:v>6.5116442392315925E-3</c:v>
                </c:pt>
              </c:numCache>
            </c:numRef>
          </c:val>
          <c:extLst>
            <c:ext xmlns:c16="http://schemas.microsoft.com/office/drawing/2014/chart" uri="{C3380CC4-5D6E-409C-BE32-E72D297353CC}">
              <c16:uniqueId val="{00000002-4DCE-4510-BADE-46A83E0C1348}"/>
            </c:ext>
          </c:extLst>
        </c:ser>
        <c:ser>
          <c:idx val="3"/>
          <c:order val="3"/>
          <c:tx>
            <c:strRef>
              <c:f>'Area VIIa nephrops u250kW'!$C$96</c:f>
              <c:strCache>
                <c:ptCount val="1"/>
                <c:pt idx="0">
                  <c:v>Les. Spot. Dog</c:v>
                </c:pt>
              </c:strCache>
            </c:strRef>
          </c:tx>
          <c:spPr>
            <a:solidFill>
              <a:srgbClr val="C1D119"/>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u250kW'!$D$96:$M$96</c:f>
              <c:numCache>
                <c:formatCode>0%</c:formatCode>
                <c:ptCount val="10"/>
                <c:pt idx="1">
                  <c:v>2.9582267272523508E-3</c:v>
                </c:pt>
                <c:pt idx="2">
                  <c:v>5.3321319175030383E-3</c:v>
                </c:pt>
                <c:pt idx="7">
                  <c:v>5.4188882029209467E-3</c:v>
                </c:pt>
                <c:pt idx="8">
                  <c:v>8.4015272356598846E-3</c:v>
                </c:pt>
              </c:numCache>
            </c:numRef>
          </c:val>
          <c:extLst>
            <c:ext xmlns:c16="http://schemas.microsoft.com/office/drawing/2014/chart" uri="{C3380CC4-5D6E-409C-BE32-E72D297353CC}">
              <c16:uniqueId val="{00000003-4DCE-4510-BADE-46A83E0C1348}"/>
            </c:ext>
          </c:extLst>
        </c:ser>
        <c:ser>
          <c:idx val="4"/>
          <c:order val="4"/>
          <c:tx>
            <c:strRef>
              <c:f>'Area VIIa nephrops u250kW'!$C$97</c:f>
              <c:strCache>
                <c:ptCount val="1"/>
                <c:pt idx="0">
                  <c:v>Sole</c:v>
                </c:pt>
              </c:strCache>
            </c:strRef>
          </c:tx>
          <c:spPr>
            <a:solidFill>
              <a:srgbClr val="E84A38"/>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u250kW'!$D$97:$M$97</c:f>
              <c:numCache>
                <c:formatCode>0%</c:formatCode>
                <c:ptCount val="10"/>
                <c:pt idx="8">
                  <c:v>7.5113092316006196E-3</c:v>
                </c:pt>
              </c:numCache>
            </c:numRef>
          </c:val>
          <c:extLst>
            <c:ext xmlns:c16="http://schemas.microsoft.com/office/drawing/2014/chart" uri="{C3380CC4-5D6E-409C-BE32-E72D297353CC}">
              <c16:uniqueId val="{00000004-4DCE-4510-BADE-46A83E0C1348}"/>
            </c:ext>
          </c:extLst>
        </c:ser>
        <c:ser>
          <c:idx val="5"/>
          <c:order val="5"/>
          <c:tx>
            <c:strRef>
              <c:f>'Area VIIa nephrops u250kW'!$C$98</c:f>
              <c:strCache>
                <c:ptCount val="1"/>
                <c:pt idx="0">
                  <c:v>Brown Crab</c:v>
                </c:pt>
              </c:strCache>
            </c:strRef>
          </c:tx>
          <c:spPr>
            <a:solidFill>
              <a:srgbClr val="0F9AA9"/>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u250kW'!$D$98:$M$98</c:f>
              <c:numCache>
                <c:formatCode>0%</c:formatCode>
                <c:ptCount val="10"/>
                <c:pt idx="7">
                  <c:v>5.4309247498683221E-3</c:v>
                </c:pt>
                <c:pt idx="9">
                  <c:v>1.5755878537443816E-2</c:v>
                </c:pt>
              </c:numCache>
            </c:numRef>
          </c:val>
          <c:extLst>
            <c:ext xmlns:c16="http://schemas.microsoft.com/office/drawing/2014/chart" uri="{C3380CC4-5D6E-409C-BE32-E72D297353CC}">
              <c16:uniqueId val="{00000005-4DCE-4510-BADE-46A83E0C1348}"/>
            </c:ext>
          </c:extLst>
        </c:ser>
        <c:ser>
          <c:idx val="6"/>
          <c:order val="6"/>
          <c:tx>
            <c:strRef>
              <c:f>'Area VIIa nephrops u250kW'!$C$99</c:f>
              <c:strCache>
                <c:ptCount val="1"/>
                <c:pt idx="0">
                  <c:v>Brill</c:v>
                </c:pt>
              </c:strCache>
            </c:strRef>
          </c:tx>
          <c:spPr>
            <a:solidFill>
              <a:srgbClr val="FED825"/>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u250kW'!$D$99:$M$99</c:f>
              <c:numCache>
                <c:formatCode>0%</c:formatCode>
                <c:ptCount val="10"/>
                <c:pt idx="6">
                  <c:v>6.4757286780516314E-3</c:v>
                </c:pt>
                <c:pt idx="9">
                  <c:v>8.1164527396432352E-3</c:v>
                </c:pt>
              </c:numCache>
            </c:numRef>
          </c:val>
          <c:extLst>
            <c:ext xmlns:c16="http://schemas.microsoft.com/office/drawing/2014/chart" uri="{C3380CC4-5D6E-409C-BE32-E72D297353CC}">
              <c16:uniqueId val="{00000006-4DCE-4510-BADE-46A83E0C1348}"/>
            </c:ext>
          </c:extLst>
        </c:ser>
        <c:ser>
          <c:idx val="7"/>
          <c:order val="7"/>
          <c:tx>
            <c:strRef>
              <c:f>'Area VIIa nephrops u250kW'!$C$100</c:f>
              <c:strCache>
                <c:ptCount val="1"/>
                <c:pt idx="0">
                  <c:v>Haddock</c:v>
                </c:pt>
              </c:strCache>
            </c:strRef>
          </c:tx>
          <c:spPr>
            <a:solidFill>
              <a:srgbClr val="707271"/>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u250kW'!$D$100:$M$100</c:f>
              <c:numCache>
                <c:formatCode>0%</c:formatCode>
                <c:ptCount val="10"/>
                <c:pt idx="3">
                  <c:v>3.6053523637565093E-3</c:v>
                </c:pt>
                <c:pt idx="4">
                  <c:v>1.9701142282666527E-2</c:v>
                </c:pt>
                <c:pt idx="5">
                  <c:v>1.1270461610199203E-2</c:v>
                </c:pt>
                <c:pt idx="6">
                  <c:v>1.1290873241676436E-2</c:v>
                </c:pt>
              </c:numCache>
            </c:numRef>
          </c:val>
          <c:extLst>
            <c:ext xmlns:c16="http://schemas.microsoft.com/office/drawing/2014/chart" uri="{C3380CC4-5D6E-409C-BE32-E72D297353CC}">
              <c16:uniqueId val="{00000007-4DCE-4510-BADE-46A83E0C1348}"/>
            </c:ext>
          </c:extLst>
        </c:ser>
        <c:ser>
          <c:idx val="8"/>
          <c:order val="8"/>
          <c:tx>
            <c:strRef>
              <c:f>'Area VIIa nephrops u250kW'!$C$101</c:f>
              <c:strCache>
                <c:ptCount val="1"/>
                <c:pt idx="0">
                  <c:v>Queen Scallops</c:v>
                </c:pt>
              </c:strCache>
            </c:strRef>
          </c:tx>
          <c:spPr>
            <a:solidFill>
              <a:srgbClr val="51AA81"/>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u250kW'!$D$101:$M$101</c:f>
              <c:numCache>
                <c:formatCode>0%</c:formatCode>
                <c:ptCount val="10"/>
                <c:pt idx="0">
                  <c:v>1.533402192904279E-2</c:v>
                </c:pt>
                <c:pt idx="5">
                  <c:v>9.138369465403395E-3</c:v>
                </c:pt>
              </c:numCache>
            </c:numRef>
          </c:val>
          <c:extLst>
            <c:ext xmlns:c16="http://schemas.microsoft.com/office/drawing/2014/chart" uri="{C3380CC4-5D6E-409C-BE32-E72D297353CC}">
              <c16:uniqueId val="{00000008-4DCE-4510-BADE-46A83E0C1348}"/>
            </c:ext>
          </c:extLst>
        </c:ser>
        <c:ser>
          <c:idx val="9"/>
          <c:order val="9"/>
          <c:tx>
            <c:strRef>
              <c:f>'Area VIIa nephrops u250kW'!$C$102</c:f>
              <c:strCache>
                <c:ptCount val="1"/>
                <c:pt idx="0">
                  <c:v>Mussels</c:v>
                </c:pt>
              </c:strCache>
            </c:strRef>
          </c:tx>
          <c:spPr>
            <a:solidFill>
              <a:srgbClr val="169FDB"/>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u250kW'!$D$102:$M$102</c:f>
              <c:numCache>
                <c:formatCode>0%</c:formatCode>
                <c:ptCount val="10"/>
                <c:pt idx="4">
                  <c:v>1.2609506067637E-2</c:v>
                </c:pt>
              </c:numCache>
            </c:numRef>
          </c:val>
          <c:extLst>
            <c:ext xmlns:c16="http://schemas.microsoft.com/office/drawing/2014/chart" uri="{C3380CC4-5D6E-409C-BE32-E72D297353CC}">
              <c16:uniqueId val="{00000009-4DCE-4510-BADE-46A83E0C1348}"/>
            </c:ext>
          </c:extLst>
        </c:ser>
        <c:ser>
          <c:idx val="10"/>
          <c:order val="10"/>
          <c:tx>
            <c:strRef>
              <c:f>'Area VIIa nephrops u250kW'!$C$103</c:f>
              <c:strCache>
                <c:ptCount val="1"/>
                <c:pt idx="0">
                  <c:v>Razor Clam</c:v>
                </c:pt>
              </c:strCache>
            </c:strRef>
          </c:tx>
          <c:spPr>
            <a:solidFill>
              <a:srgbClr val="E40D2C"/>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u250kW'!$D$103:$M$103</c:f>
              <c:numCache>
                <c:formatCode>0%</c:formatCode>
                <c:ptCount val="10"/>
                <c:pt idx="3">
                  <c:v>6.60897765128593E-3</c:v>
                </c:pt>
              </c:numCache>
            </c:numRef>
          </c:val>
          <c:extLst>
            <c:ext xmlns:c16="http://schemas.microsoft.com/office/drawing/2014/chart" uri="{C3380CC4-5D6E-409C-BE32-E72D297353CC}">
              <c16:uniqueId val="{0000000A-4DCE-4510-BADE-46A83E0C1348}"/>
            </c:ext>
          </c:extLst>
        </c:ser>
        <c:ser>
          <c:idx val="11"/>
          <c:order val="11"/>
          <c:tx>
            <c:strRef>
              <c:f>'Area VIIa nephrops u250kW'!$C$104</c:f>
              <c:strCache>
                <c:ptCount val="1"/>
                <c:pt idx="0">
                  <c:v>Thornback Ray</c:v>
                </c:pt>
              </c:strCache>
            </c:strRef>
          </c:tx>
          <c:spPr>
            <a:solidFill>
              <a:srgbClr val="B4C3E5"/>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u250kW'!$D$104:$M$104</c:f>
              <c:numCache>
                <c:formatCode>0%</c:formatCode>
                <c:ptCount val="10"/>
                <c:pt idx="0">
                  <c:v>6.2204424265200594E-3</c:v>
                </c:pt>
                <c:pt idx="2">
                  <c:v>3.8797037336966785E-3</c:v>
                </c:pt>
              </c:numCache>
            </c:numRef>
          </c:val>
          <c:extLst>
            <c:ext xmlns:c16="http://schemas.microsoft.com/office/drawing/2014/chart" uri="{C3380CC4-5D6E-409C-BE32-E72D297353CC}">
              <c16:uniqueId val="{0000000B-4DCE-4510-BADE-46A83E0C1348}"/>
            </c:ext>
          </c:extLst>
        </c:ser>
        <c:ser>
          <c:idx val="12"/>
          <c:order val="12"/>
          <c:tx>
            <c:strRef>
              <c:f>'Area VIIa nephrops u250kW'!$C$105</c:f>
              <c:strCache>
                <c:ptCount val="1"/>
                <c:pt idx="0">
                  <c:v>Cod</c:v>
                </c:pt>
              </c:strCache>
            </c:strRef>
          </c:tx>
          <c:spPr>
            <a:solidFill>
              <a:srgbClr val="F8CBA1"/>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u250kW'!$D$105:$M$105</c:f>
              <c:numCache>
                <c:formatCode>0%</c:formatCode>
                <c:ptCount val="10"/>
                <c:pt idx="1">
                  <c:v>3.8377268953566661E-3</c:v>
                </c:pt>
              </c:numCache>
            </c:numRef>
          </c:val>
          <c:extLst>
            <c:ext xmlns:c16="http://schemas.microsoft.com/office/drawing/2014/chart" uri="{C3380CC4-5D6E-409C-BE32-E72D297353CC}">
              <c16:uniqueId val="{0000000C-4DCE-4510-BADE-46A83E0C1348}"/>
            </c:ext>
          </c:extLst>
        </c:ser>
        <c:ser>
          <c:idx val="13"/>
          <c:order val="13"/>
          <c:tx>
            <c:strRef>
              <c:f>'Area VIIa nephrops u250kW'!$C$106</c:f>
              <c:strCache>
                <c:ptCount val="1"/>
                <c:pt idx="0">
                  <c:v>Others</c:v>
                </c:pt>
              </c:strCache>
            </c:strRef>
          </c:tx>
          <c:spPr>
            <a:solidFill>
              <a:srgbClr val="55585A"/>
            </a:solidFill>
            <a:ln>
              <a:solidFill>
                <a:srgbClr val="FFFFFF"/>
              </a:solidFill>
            </a:ln>
          </c:spPr>
          <c:invertIfNegative val="0"/>
          <c:cat>
            <c:numRef>
              <c:f>'Area VIIa nephrops u250kW'!$D$92:$M$92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nephrops u250kW'!$D$106:$M$106</c:f>
              <c:numCache>
                <c:formatCode>0%</c:formatCode>
                <c:ptCount val="10"/>
                <c:pt idx="0">
                  <c:v>3.294769020062658E-2</c:v>
                </c:pt>
                <c:pt idx="1">
                  <c:v>1.4663938980731834E-2</c:v>
                </c:pt>
                <c:pt idx="2">
                  <c:v>1.4017649462560849E-2</c:v>
                </c:pt>
                <c:pt idx="3">
                  <c:v>2.2569345582534924E-2</c:v>
                </c:pt>
                <c:pt idx="4">
                  <c:v>4.3572187869039082E-2</c:v>
                </c:pt>
                <c:pt idx="5">
                  <c:v>2.9699904238385859E-2</c:v>
                </c:pt>
                <c:pt idx="6">
                  <c:v>4.2333948864140832E-2</c:v>
                </c:pt>
                <c:pt idx="7">
                  <c:v>3.360283419009201E-2</c:v>
                </c:pt>
                <c:pt idx="8">
                  <c:v>3.7388771357454824E-2</c:v>
                </c:pt>
                <c:pt idx="9">
                  <c:v>3.0874334383276778E-2</c:v>
                </c:pt>
              </c:numCache>
            </c:numRef>
          </c:val>
          <c:extLst>
            <c:ext xmlns:c16="http://schemas.microsoft.com/office/drawing/2014/chart" uri="{C3380CC4-5D6E-409C-BE32-E72D297353CC}">
              <c16:uniqueId val="{0000000D-4DCE-4510-BADE-46A83E0C1348}"/>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hooks'!$K$63</c:f>
          <c:strCache>
            <c:ptCount val="1"/>
            <c:pt idx="0">
              <c:v>Average annual operating profit per vessel (£'000)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31BD-4FA6-8C5F-9B1D67F6D77F}"/>
              </c:ext>
            </c:extLst>
          </c:dPt>
          <c:dPt>
            <c:idx val="10"/>
            <c:bubble3D val="0"/>
            <c:spPr>
              <a:ln w="57150">
                <a:solidFill>
                  <a:schemeClr val="accent5"/>
                </a:solidFill>
                <a:prstDash val="sysDot"/>
              </a:ln>
            </c:spPr>
            <c:extLst>
              <c:ext xmlns:c16="http://schemas.microsoft.com/office/drawing/2014/chart" uri="{C3380CC4-5D6E-409C-BE32-E72D297353CC}">
                <c16:uniqueId val="{00000003-31BD-4FA6-8C5F-9B1D67F6D77F}"/>
              </c:ext>
            </c:extLst>
          </c:dPt>
          <c:cat>
            <c:numRef>
              <c:f>'U10m using hooks'!$D$2:$M$2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hooks'!$D$38:$N$38</c:f>
              <c:numCache>
                <c:formatCode>#,##0.0</c:formatCode>
                <c:ptCount val="11"/>
                <c:pt idx="0">
                  <c:v>8.8000000000000007</c:v>
                </c:pt>
                <c:pt idx="1">
                  <c:v>13.5</c:v>
                </c:pt>
                <c:pt idx="2">
                  <c:v>11</c:v>
                </c:pt>
                <c:pt idx="3">
                  <c:v>15</c:v>
                </c:pt>
                <c:pt idx="4">
                  <c:v>17.2</c:v>
                </c:pt>
                <c:pt idx="5">
                  <c:v>13</c:v>
                </c:pt>
                <c:pt idx="6">
                  <c:v>13.6</c:v>
                </c:pt>
                <c:pt idx="7">
                  <c:v>17.7</c:v>
                </c:pt>
                <c:pt idx="8">
                  <c:v>12.5</c:v>
                </c:pt>
                <c:pt idx="9">
                  <c:v>16.5</c:v>
                </c:pt>
                <c:pt idx="10">
                  <c:v>16.2</c:v>
                </c:pt>
              </c:numCache>
            </c:numRef>
          </c:val>
          <c:smooth val="0"/>
          <c:extLst>
            <c:ext xmlns:c16="http://schemas.microsoft.com/office/drawing/2014/chart" uri="{C3380CC4-5D6E-409C-BE32-E72D297353CC}">
              <c16:uniqueId val="{00000004-31BD-4FA6-8C5F-9B1D67F6D77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hooks'!$A$77</c:f>
          <c:strCache>
            <c:ptCount val="1"/>
            <c:pt idx="0">
              <c:v>Top 5 landed species by volume in 2021
Under 10m using hooks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67CB-42D0-99B2-41F22CD4BC33}"/>
              </c:ext>
            </c:extLst>
          </c:dPt>
          <c:dPt>
            <c:idx val="1"/>
            <c:bubble3D val="0"/>
            <c:spPr>
              <a:solidFill>
                <a:srgbClr val="E87308"/>
              </a:solidFill>
              <a:ln>
                <a:solidFill>
                  <a:srgbClr val="FFFFFF"/>
                </a:solidFill>
              </a:ln>
            </c:spPr>
            <c:extLst>
              <c:ext xmlns:c16="http://schemas.microsoft.com/office/drawing/2014/chart" uri="{C3380CC4-5D6E-409C-BE32-E72D297353CC}">
                <c16:uniqueId val="{00000003-67CB-42D0-99B2-41F22CD4BC33}"/>
              </c:ext>
            </c:extLst>
          </c:dPt>
          <c:dPt>
            <c:idx val="2"/>
            <c:bubble3D val="0"/>
            <c:spPr>
              <a:solidFill>
                <a:srgbClr val="C1D119"/>
              </a:solidFill>
              <a:ln>
                <a:solidFill>
                  <a:srgbClr val="FFFFFF"/>
                </a:solidFill>
              </a:ln>
            </c:spPr>
            <c:extLst>
              <c:ext xmlns:c16="http://schemas.microsoft.com/office/drawing/2014/chart" uri="{C3380CC4-5D6E-409C-BE32-E72D297353CC}">
                <c16:uniqueId val="{00000005-67CB-42D0-99B2-41F22CD4BC33}"/>
              </c:ext>
            </c:extLst>
          </c:dPt>
          <c:dPt>
            <c:idx val="3"/>
            <c:bubble3D val="0"/>
            <c:spPr>
              <a:solidFill>
                <a:srgbClr val="2273B9"/>
              </a:solidFill>
              <a:ln>
                <a:solidFill>
                  <a:srgbClr val="FFFFFF"/>
                </a:solidFill>
              </a:ln>
            </c:spPr>
            <c:extLst>
              <c:ext xmlns:c16="http://schemas.microsoft.com/office/drawing/2014/chart" uri="{C3380CC4-5D6E-409C-BE32-E72D297353CC}">
                <c16:uniqueId val="{00000007-67CB-42D0-99B2-41F22CD4BC33}"/>
              </c:ext>
            </c:extLst>
          </c:dPt>
          <c:dPt>
            <c:idx val="4"/>
            <c:bubble3D val="0"/>
            <c:spPr>
              <a:solidFill>
                <a:srgbClr val="0F9AA9"/>
              </a:solidFill>
              <a:ln>
                <a:solidFill>
                  <a:srgbClr val="FFFFFF"/>
                </a:solidFill>
              </a:ln>
            </c:spPr>
            <c:extLst>
              <c:ext xmlns:c16="http://schemas.microsoft.com/office/drawing/2014/chart" uri="{C3380CC4-5D6E-409C-BE32-E72D297353CC}">
                <c16:uniqueId val="{00000009-67CB-42D0-99B2-41F22CD4BC33}"/>
              </c:ext>
            </c:extLst>
          </c:dPt>
          <c:dPt>
            <c:idx val="5"/>
            <c:bubble3D val="0"/>
            <c:spPr>
              <a:solidFill>
                <a:srgbClr val="55585A"/>
              </a:solidFill>
              <a:ln>
                <a:solidFill>
                  <a:srgbClr val="FFFFFF"/>
                </a:solidFill>
              </a:ln>
            </c:spPr>
            <c:extLst>
              <c:ext xmlns:c16="http://schemas.microsoft.com/office/drawing/2014/chart" uri="{C3380CC4-5D6E-409C-BE32-E72D297353CC}">
                <c16:uniqueId val="{0000000B-67CB-42D0-99B2-41F22CD4BC33}"/>
              </c:ext>
            </c:extLst>
          </c:dPt>
          <c:cat>
            <c:strRef>
              <c:f>'U10m using hooks'!$B$78:$B$83</c:f>
              <c:strCache>
                <c:ptCount val="6"/>
                <c:pt idx="0">
                  <c:v>Mackerel - 40.8%</c:v>
                </c:pt>
                <c:pt idx="1">
                  <c:v>Razor Clam - 15.8%</c:v>
                </c:pt>
                <c:pt idx="2">
                  <c:v>Scallops - 14.4%</c:v>
                </c:pt>
                <c:pt idx="3">
                  <c:v>Bass - 12.1%</c:v>
                </c:pt>
                <c:pt idx="4">
                  <c:v>Cod - 5.4%</c:v>
                </c:pt>
                <c:pt idx="5">
                  <c:v>Others - 11.5%</c:v>
                </c:pt>
              </c:strCache>
            </c:strRef>
          </c:cat>
          <c:val>
            <c:numRef>
              <c:f>'U10m using hooks'!$C$78:$C$83</c:f>
              <c:numCache>
                <c:formatCode>0.0%</c:formatCode>
                <c:ptCount val="6"/>
                <c:pt idx="0">
                  <c:v>0.40772101575497399</c:v>
                </c:pt>
                <c:pt idx="1">
                  <c:v>0.15798191097207437</c:v>
                </c:pt>
                <c:pt idx="2">
                  <c:v>0.14395871068230551</c:v>
                </c:pt>
                <c:pt idx="3">
                  <c:v>0.12107948786999236</c:v>
                </c:pt>
                <c:pt idx="4">
                  <c:v>5.4265999230328904E-2</c:v>
                </c:pt>
                <c:pt idx="5">
                  <c:v>0.11499287549032489</c:v>
                </c:pt>
              </c:numCache>
            </c:numRef>
          </c:val>
          <c:extLst>
            <c:ext xmlns:c16="http://schemas.microsoft.com/office/drawing/2014/chart" uri="{C3380CC4-5D6E-409C-BE32-E72D297353CC}">
              <c16:uniqueId val="{0000000C-67CB-42D0-99B2-41F22CD4BC3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hooks'!$F$77</c:f>
          <c:strCache>
            <c:ptCount val="1"/>
            <c:pt idx="0">
              <c:v>Top 5 landed species by value in 2021
Under 10m using hooks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0DC-461E-B435-D18783E81728}"/>
              </c:ext>
            </c:extLst>
          </c:dPt>
          <c:dPt>
            <c:idx val="1"/>
            <c:bubble3D val="0"/>
            <c:spPr>
              <a:solidFill>
                <a:srgbClr val="E87308"/>
              </a:solidFill>
              <a:ln>
                <a:solidFill>
                  <a:srgbClr val="FFFFFF"/>
                </a:solidFill>
              </a:ln>
            </c:spPr>
            <c:extLst>
              <c:ext xmlns:c16="http://schemas.microsoft.com/office/drawing/2014/chart" uri="{C3380CC4-5D6E-409C-BE32-E72D297353CC}">
                <c16:uniqueId val="{00000003-D0DC-461E-B435-D18783E81728}"/>
              </c:ext>
            </c:extLst>
          </c:dPt>
          <c:dPt>
            <c:idx val="2"/>
            <c:bubble3D val="0"/>
            <c:spPr>
              <a:solidFill>
                <a:srgbClr val="648C2E"/>
              </a:solidFill>
              <a:ln>
                <a:solidFill>
                  <a:srgbClr val="FFFFFF"/>
                </a:solidFill>
              </a:ln>
            </c:spPr>
            <c:extLst>
              <c:ext xmlns:c16="http://schemas.microsoft.com/office/drawing/2014/chart" uri="{C3380CC4-5D6E-409C-BE32-E72D297353CC}">
                <c16:uniqueId val="{00000005-D0DC-461E-B435-D18783E81728}"/>
              </c:ext>
            </c:extLst>
          </c:dPt>
          <c:dPt>
            <c:idx val="3"/>
            <c:bubble3D val="0"/>
            <c:spPr>
              <a:solidFill>
                <a:srgbClr val="C1D119"/>
              </a:solidFill>
              <a:ln>
                <a:solidFill>
                  <a:srgbClr val="FFFFFF"/>
                </a:solidFill>
              </a:ln>
            </c:spPr>
            <c:extLst>
              <c:ext xmlns:c16="http://schemas.microsoft.com/office/drawing/2014/chart" uri="{C3380CC4-5D6E-409C-BE32-E72D297353CC}">
                <c16:uniqueId val="{00000007-D0DC-461E-B435-D18783E81728}"/>
              </c:ext>
            </c:extLst>
          </c:dPt>
          <c:dPt>
            <c:idx val="4"/>
            <c:bubble3D val="0"/>
            <c:spPr>
              <a:solidFill>
                <a:srgbClr val="E84A38"/>
              </a:solidFill>
              <a:ln>
                <a:solidFill>
                  <a:srgbClr val="FFFFFF"/>
                </a:solidFill>
              </a:ln>
            </c:spPr>
            <c:extLst>
              <c:ext xmlns:c16="http://schemas.microsoft.com/office/drawing/2014/chart" uri="{C3380CC4-5D6E-409C-BE32-E72D297353CC}">
                <c16:uniqueId val="{00000009-D0DC-461E-B435-D18783E81728}"/>
              </c:ext>
            </c:extLst>
          </c:dPt>
          <c:dPt>
            <c:idx val="5"/>
            <c:bubble3D val="0"/>
            <c:spPr>
              <a:solidFill>
                <a:srgbClr val="55585A"/>
              </a:solidFill>
              <a:ln>
                <a:solidFill>
                  <a:srgbClr val="FFFFFF"/>
                </a:solidFill>
              </a:ln>
            </c:spPr>
            <c:extLst>
              <c:ext xmlns:c16="http://schemas.microsoft.com/office/drawing/2014/chart" uri="{C3380CC4-5D6E-409C-BE32-E72D297353CC}">
                <c16:uniqueId val="{0000000B-D0DC-461E-B435-D18783E81728}"/>
              </c:ext>
            </c:extLst>
          </c:dPt>
          <c:cat>
            <c:strRef>
              <c:f>'U10m using hooks'!$G$78:$G$83</c:f>
              <c:strCache>
                <c:ptCount val="6"/>
                <c:pt idx="0">
                  <c:v>Bass - 31.8%</c:v>
                </c:pt>
                <c:pt idx="1">
                  <c:v>Razor Clam - 31.2%</c:v>
                </c:pt>
                <c:pt idx="2">
                  <c:v>Mackerel - 14.4%</c:v>
                </c:pt>
                <c:pt idx="3">
                  <c:v>Scallops - 9.7%</c:v>
                </c:pt>
                <c:pt idx="4">
                  <c:v>Pollack - 4.4%</c:v>
                </c:pt>
                <c:pt idx="5">
                  <c:v>Others - 8.6%</c:v>
                </c:pt>
              </c:strCache>
            </c:strRef>
          </c:cat>
          <c:val>
            <c:numRef>
              <c:f>'U10m using hooks'!$H$78:$H$83</c:f>
              <c:numCache>
                <c:formatCode>0.0%</c:formatCode>
                <c:ptCount val="6"/>
                <c:pt idx="0">
                  <c:v>0.31754842243899745</c:v>
                </c:pt>
                <c:pt idx="1">
                  <c:v>0.31241804653686889</c:v>
                </c:pt>
                <c:pt idx="2">
                  <c:v>0.14369875611184033</c:v>
                </c:pt>
                <c:pt idx="3">
                  <c:v>9.6610260796359315E-2</c:v>
                </c:pt>
                <c:pt idx="4">
                  <c:v>4.376517169403684E-2</c:v>
                </c:pt>
                <c:pt idx="5">
                  <c:v>8.5959342421897178E-2</c:v>
                </c:pt>
              </c:numCache>
            </c:numRef>
          </c:val>
          <c:extLst>
            <c:ext xmlns:c16="http://schemas.microsoft.com/office/drawing/2014/chart" uri="{C3380CC4-5D6E-409C-BE32-E72D297353CC}">
              <c16:uniqueId val="{0000000C-D0DC-461E-B435-D18783E8172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using hooks'!$C$93</c:f>
              <c:strCache>
                <c:ptCount val="1"/>
                <c:pt idx="0">
                  <c:v>Bass</c:v>
                </c:pt>
              </c:strCache>
            </c:strRef>
          </c:tx>
          <c:spPr>
            <a:solidFill>
              <a:srgbClr val="2273B9"/>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hooks'!$D$93:$M$93</c:f>
              <c:numCache>
                <c:formatCode>0%</c:formatCode>
                <c:ptCount val="10"/>
                <c:pt idx="0">
                  <c:v>0.22682605482325513</c:v>
                </c:pt>
                <c:pt idx="1">
                  <c:v>0.32116198684164082</c:v>
                </c:pt>
                <c:pt idx="2">
                  <c:v>0.25458513133870647</c:v>
                </c:pt>
                <c:pt idx="3">
                  <c:v>0.22602518659808027</c:v>
                </c:pt>
                <c:pt idx="4">
                  <c:v>0.23398400403203587</c:v>
                </c:pt>
                <c:pt idx="5">
                  <c:v>0.24150489706503203</c:v>
                </c:pt>
                <c:pt idx="6">
                  <c:v>0.21148227692380761</c:v>
                </c:pt>
                <c:pt idx="7">
                  <c:v>0.26617250844189244</c:v>
                </c:pt>
                <c:pt idx="8">
                  <c:v>0.31754842243899745</c:v>
                </c:pt>
                <c:pt idx="9">
                  <c:v>0.27026726240877952</c:v>
                </c:pt>
              </c:numCache>
            </c:numRef>
          </c:val>
          <c:extLst>
            <c:ext xmlns:c16="http://schemas.microsoft.com/office/drawing/2014/chart" uri="{C3380CC4-5D6E-409C-BE32-E72D297353CC}">
              <c16:uniqueId val="{00000000-CA5F-4A3D-8935-0E9E503FD118}"/>
            </c:ext>
          </c:extLst>
        </c:ser>
        <c:ser>
          <c:idx val="1"/>
          <c:order val="1"/>
          <c:tx>
            <c:strRef>
              <c:f>'U10m using hooks'!$C$94</c:f>
              <c:strCache>
                <c:ptCount val="1"/>
                <c:pt idx="0">
                  <c:v>Razor Clam</c:v>
                </c:pt>
              </c:strCache>
            </c:strRef>
          </c:tx>
          <c:spPr>
            <a:solidFill>
              <a:srgbClr val="E87308"/>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hooks'!$D$94:$M$94</c:f>
              <c:numCache>
                <c:formatCode>0%</c:formatCode>
                <c:ptCount val="10"/>
                <c:pt idx="0">
                  <c:v>0.31141667646468979</c:v>
                </c:pt>
                <c:pt idx="1">
                  <c:v>0.13783119231677812</c:v>
                </c:pt>
                <c:pt idx="2">
                  <c:v>0.21859195914844093</c:v>
                </c:pt>
                <c:pt idx="3">
                  <c:v>0.2870587358894684</c:v>
                </c:pt>
                <c:pt idx="4">
                  <c:v>0.23474274114399213</c:v>
                </c:pt>
                <c:pt idx="5">
                  <c:v>0.27208691758001519</c:v>
                </c:pt>
                <c:pt idx="6">
                  <c:v>0.35701761239707852</c:v>
                </c:pt>
                <c:pt idx="7">
                  <c:v>0.29830205014996841</c:v>
                </c:pt>
                <c:pt idx="8">
                  <c:v>0.31241804653686889</c:v>
                </c:pt>
                <c:pt idx="9">
                  <c:v>0.28655494477962112</c:v>
                </c:pt>
              </c:numCache>
            </c:numRef>
          </c:val>
          <c:extLst>
            <c:ext xmlns:c16="http://schemas.microsoft.com/office/drawing/2014/chart" uri="{C3380CC4-5D6E-409C-BE32-E72D297353CC}">
              <c16:uniqueId val="{00000001-CA5F-4A3D-8935-0E9E503FD118}"/>
            </c:ext>
          </c:extLst>
        </c:ser>
        <c:ser>
          <c:idx val="2"/>
          <c:order val="2"/>
          <c:tx>
            <c:strRef>
              <c:f>'U10m using hooks'!$C$95</c:f>
              <c:strCache>
                <c:ptCount val="1"/>
                <c:pt idx="0">
                  <c:v>Mackerel</c:v>
                </c:pt>
              </c:strCache>
            </c:strRef>
          </c:tx>
          <c:spPr>
            <a:solidFill>
              <a:srgbClr val="648C2E"/>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hooks'!$D$95:$M$95</c:f>
              <c:numCache>
                <c:formatCode>0%</c:formatCode>
                <c:ptCount val="10"/>
                <c:pt idx="0">
                  <c:v>0.10673358043299384</c:v>
                </c:pt>
                <c:pt idx="1">
                  <c:v>0.10508980186432716</c:v>
                </c:pt>
                <c:pt idx="2">
                  <c:v>8.0592152990605431E-2</c:v>
                </c:pt>
                <c:pt idx="3">
                  <c:v>0.10346648089965994</c:v>
                </c:pt>
                <c:pt idx="4">
                  <c:v>0.16773273254079321</c:v>
                </c:pt>
                <c:pt idx="5">
                  <c:v>0.12186294089352287</c:v>
                </c:pt>
                <c:pt idx="6">
                  <c:v>0.13601013349979019</c:v>
                </c:pt>
                <c:pt idx="7">
                  <c:v>0.15718032764933867</c:v>
                </c:pt>
                <c:pt idx="8">
                  <c:v>0.14369875611184033</c:v>
                </c:pt>
                <c:pt idx="9">
                  <c:v>0.12376892442395364</c:v>
                </c:pt>
              </c:numCache>
            </c:numRef>
          </c:val>
          <c:extLst>
            <c:ext xmlns:c16="http://schemas.microsoft.com/office/drawing/2014/chart" uri="{C3380CC4-5D6E-409C-BE32-E72D297353CC}">
              <c16:uniqueId val="{00000002-CA5F-4A3D-8935-0E9E503FD118}"/>
            </c:ext>
          </c:extLst>
        </c:ser>
        <c:ser>
          <c:idx val="3"/>
          <c:order val="3"/>
          <c:tx>
            <c:strRef>
              <c:f>'U10m using hooks'!$C$96</c:f>
              <c:strCache>
                <c:ptCount val="1"/>
                <c:pt idx="0">
                  <c:v>Scallops</c:v>
                </c:pt>
              </c:strCache>
            </c:strRef>
          </c:tx>
          <c:spPr>
            <a:solidFill>
              <a:srgbClr val="C1D119"/>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hooks'!$D$96:$M$96</c:f>
              <c:numCache>
                <c:formatCode>0%</c:formatCode>
                <c:ptCount val="10"/>
                <c:pt idx="0">
                  <c:v>0.16996219309375496</c:v>
                </c:pt>
                <c:pt idx="1">
                  <c:v>0.26057548135537073</c:v>
                </c:pt>
                <c:pt idx="2">
                  <c:v>0.289731815883218</c:v>
                </c:pt>
                <c:pt idx="3">
                  <c:v>0.21506708466008739</c:v>
                </c:pt>
                <c:pt idx="4">
                  <c:v>0.16833884726566709</c:v>
                </c:pt>
                <c:pt idx="5">
                  <c:v>0.17934107830268026</c:v>
                </c:pt>
                <c:pt idx="6">
                  <c:v>0.16231050972396588</c:v>
                </c:pt>
                <c:pt idx="7">
                  <c:v>0.14463639657188149</c:v>
                </c:pt>
                <c:pt idx="8">
                  <c:v>9.6610260796359315E-2</c:v>
                </c:pt>
                <c:pt idx="9">
                  <c:v>0.15871441230610717</c:v>
                </c:pt>
              </c:numCache>
            </c:numRef>
          </c:val>
          <c:extLst>
            <c:ext xmlns:c16="http://schemas.microsoft.com/office/drawing/2014/chart" uri="{C3380CC4-5D6E-409C-BE32-E72D297353CC}">
              <c16:uniqueId val="{00000003-CA5F-4A3D-8935-0E9E503FD118}"/>
            </c:ext>
          </c:extLst>
        </c:ser>
        <c:ser>
          <c:idx val="4"/>
          <c:order val="4"/>
          <c:tx>
            <c:strRef>
              <c:f>'U10m using hooks'!$C$97</c:f>
              <c:strCache>
                <c:ptCount val="1"/>
                <c:pt idx="0">
                  <c:v>Pollack</c:v>
                </c:pt>
              </c:strCache>
            </c:strRef>
          </c:tx>
          <c:spPr>
            <a:solidFill>
              <a:srgbClr val="E84A38"/>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hooks'!$D$97:$M$97</c:f>
              <c:numCache>
                <c:formatCode>0%</c:formatCode>
                <c:ptCount val="10"/>
                <c:pt idx="0">
                  <c:v>7.2725228129391348E-2</c:v>
                </c:pt>
                <c:pt idx="1">
                  <c:v>5.4083653060282448E-2</c:v>
                </c:pt>
                <c:pt idx="2">
                  <c:v>6.912197334418746E-2</c:v>
                </c:pt>
                <c:pt idx="3">
                  <c:v>5.596104178183782E-2</c:v>
                </c:pt>
                <c:pt idx="4">
                  <c:v>7.3082837561377845E-2</c:v>
                </c:pt>
                <c:pt idx="5">
                  <c:v>5.9038540780753532E-2</c:v>
                </c:pt>
                <c:pt idx="6">
                  <c:v>4.1046396944281124E-2</c:v>
                </c:pt>
                <c:pt idx="8">
                  <c:v>4.376517169403684E-2</c:v>
                </c:pt>
                <c:pt idx="9">
                  <c:v>4.7777929187570491E-2</c:v>
                </c:pt>
              </c:numCache>
            </c:numRef>
          </c:val>
          <c:extLst>
            <c:ext xmlns:c16="http://schemas.microsoft.com/office/drawing/2014/chart" uri="{C3380CC4-5D6E-409C-BE32-E72D297353CC}">
              <c16:uniqueId val="{00000004-CA5F-4A3D-8935-0E9E503FD118}"/>
            </c:ext>
          </c:extLst>
        </c:ser>
        <c:ser>
          <c:idx val="5"/>
          <c:order val="5"/>
          <c:tx>
            <c:strRef>
              <c:f>'U10m using hooks'!$C$98</c:f>
              <c:strCache>
                <c:ptCount val="1"/>
                <c:pt idx="0">
                  <c:v>Cod</c:v>
                </c:pt>
              </c:strCache>
            </c:strRef>
          </c:tx>
          <c:spPr>
            <a:solidFill>
              <a:srgbClr val="0F9AA9"/>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hooks'!$D$98:$M$98</c:f>
              <c:numCache>
                <c:formatCode>0%</c:formatCode>
                <c:ptCount val="10"/>
                <c:pt idx="7">
                  <c:v>3.0758872108378139E-2</c:v>
                </c:pt>
              </c:numCache>
            </c:numRef>
          </c:val>
          <c:extLst>
            <c:ext xmlns:c16="http://schemas.microsoft.com/office/drawing/2014/chart" uri="{C3380CC4-5D6E-409C-BE32-E72D297353CC}">
              <c16:uniqueId val="{00000005-CA5F-4A3D-8935-0E9E503FD118}"/>
            </c:ext>
          </c:extLst>
        </c:ser>
        <c:ser>
          <c:idx val="6"/>
          <c:order val="6"/>
          <c:tx>
            <c:strRef>
              <c:f>'U10m using hooks'!$C$99</c:f>
              <c:strCache>
                <c:ptCount val="1"/>
                <c:pt idx="0">
                  <c:v>Others</c:v>
                </c:pt>
              </c:strCache>
            </c:strRef>
          </c:tx>
          <c:spPr>
            <a:solidFill>
              <a:srgbClr val="55585A"/>
            </a:solidFill>
            <a:ln>
              <a:solidFill>
                <a:srgbClr val="FFFFFF"/>
              </a:solidFill>
            </a:ln>
          </c:spPr>
          <c:invertIfNegative val="0"/>
          <c:cat>
            <c:numRef>
              <c:f>'U10m using hooks'!$D$92:$M$92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'U10m using hooks'!$D$99:$M$99</c:f>
              <c:numCache>
                <c:formatCode>0%</c:formatCode>
                <c:ptCount val="10"/>
                <c:pt idx="0">
                  <c:v>0.11233626705591494</c:v>
                </c:pt>
                <c:pt idx="1">
                  <c:v>0.12125788456160072</c:v>
                </c:pt>
                <c:pt idx="2">
                  <c:v>8.7376967294841665E-2</c:v>
                </c:pt>
                <c:pt idx="3">
                  <c:v>0.11242147017086619</c:v>
                </c:pt>
                <c:pt idx="4">
                  <c:v>0.12211883745613386</c:v>
                </c:pt>
                <c:pt idx="5">
                  <c:v>0.12616562537799614</c:v>
                </c:pt>
                <c:pt idx="6">
                  <c:v>9.2133070511076706E-2</c:v>
                </c:pt>
                <c:pt idx="7">
                  <c:v>0.10294984507854084</c:v>
                </c:pt>
                <c:pt idx="8">
                  <c:v>8.5959342421897206E-2</c:v>
                </c:pt>
                <c:pt idx="9">
                  <c:v>0.11291652689396811</c:v>
                </c:pt>
              </c:numCache>
            </c:numRef>
          </c:val>
          <c:extLst>
            <c:ext xmlns:c16="http://schemas.microsoft.com/office/drawing/2014/chart" uri="{C3380CC4-5D6E-409C-BE32-E72D297353CC}">
              <c16:uniqueId val="{00000006-CA5F-4A3D-8935-0E9E503FD118}"/>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using hooks'!$B$163</c:f>
              <c:strCache>
                <c:ptCount val="1"/>
                <c:pt idx="0">
                  <c:v>Mackerel</c:v>
                </c:pt>
              </c:strCache>
            </c:strRef>
          </c:tx>
          <c:spPr>
            <a:solidFill>
              <a:srgbClr val="648C2E"/>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hooks'!$C$163:$E$163</c:f>
              <c:numCache>
                <c:formatCode>0%</c:formatCode>
                <c:ptCount val="3"/>
                <c:pt idx="0">
                  <c:v>0.39995344518710341</c:v>
                </c:pt>
                <c:pt idx="1">
                  <c:v>0.42968695931592898</c:v>
                </c:pt>
                <c:pt idx="2">
                  <c:v>0.3889374793494802</c:v>
                </c:pt>
              </c:numCache>
            </c:numRef>
          </c:val>
          <c:extLst>
            <c:ext xmlns:c16="http://schemas.microsoft.com/office/drawing/2014/chart" uri="{C3380CC4-5D6E-409C-BE32-E72D297353CC}">
              <c16:uniqueId val="{00000000-5C0C-4B9E-810E-D663383B0A16}"/>
            </c:ext>
          </c:extLst>
        </c:ser>
        <c:ser>
          <c:idx val="1"/>
          <c:order val="1"/>
          <c:tx>
            <c:strRef>
              <c:f>'U10m using hooks'!$B$164</c:f>
              <c:strCache>
                <c:ptCount val="1"/>
                <c:pt idx="0">
                  <c:v>Scallops</c:v>
                </c:pt>
              </c:strCache>
            </c:strRef>
          </c:tx>
          <c:spPr>
            <a:solidFill>
              <a:srgbClr val="C1D119"/>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hooks'!$C$164:$E$164</c:f>
              <c:numCache>
                <c:formatCode>0%</c:formatCode>
                <c:ptCount val="3"/>
                <c:pt idx="0">
                  <c:v>3.4593547601871812E-2</c:v>
                </c:pt>
                <c:pt idx="1">
                  <c:v>0.18388642650776738</c:v>
                </c:pt>
                <c:pt idx="2">
                  <c:v>0.20277022564121877</c:v>
                </c:pt>
              </c:numCache>
            </c:numRef>
          </c:val>
          <c:extLst>
            <c:ext xmlns:c16="http://schemas.microsoft.com/office/drawing/2014/chart" uri="{C3380CC4-5D6E-409C-BE32-E72D297353CC}">
              <c16:uniqueId val="{00000001-5C0C-4B9E-810E-D663383B0A16}"/>
            </c:ext>
          </c:extLst>
        </c:ser>
        <c:ser>
          <c:idx val="2"/>
          <c:order val="2"/>
          <c:tx>
            <c:strRef>
              <c:f>'U10m using hooks'!$B$165</c:f>
              <c:strCache>
                <c:ptCount val="1"/>
                <c:pt idx="0">
                  <c:v>Razor Clam</c:v>
                </c:pt>
              </c:strCache>
            </c:strRef>
          </c:tx>
          <c:spPr>
            <a:solidFill>
              <a:srgbClr val="E87308"/>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hooks'!$C$165:$E$165</c:f>
              <c:numCache>
                <c:formatCode>0%</c:formatCode>
                <c:ptCount val="3"/>
                <c:pt idx="0">
                  <c:v>0.3007097778104989</c:v>
                </c:pt>
                <c:pt idx="1">
                  <c:v>0.15091547327201826</c:v>
                </c:pt>
                <c:pt idx="2">
                  <c:v>0</c:v>
                </c:pt>
              </c:numCache>
            </c:numRef>
          </c:val>
          <c:extLst>
            <c:ext xmlns:c16="http://schemas.microsoft.com/office/drawing/2014/chart" uri="{C3380CC4-5D6E-409C-BE32-E72D297353CC}">
              <c16:uniqueId val="{00000002-5C0C-4B9E-810E-D663383B0A16}"/>
            </c:ext>
          </c:extLst>
        </c:ser>
        <c:ser>
          <c:idx val="3"/>
          <c:order val="3"/>
          <c:tx>
            <c:strRef>
              <c:f>'U10m using hooks'!$B$166</c:f>
              <c:strCache>
                <c:ptCount val="1"/>
                <c:pt idx="0">
                  <c:v>Bass</c:v>
                </c:pt>
              </c:strCache>
            </c:strRef>
          </c:tx>
          <c:spPr>
            <a:solidFill>
              <a:srgbClr val="2273B9"/>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hooks'!$C$166:$E$166</c:f>
              <c:numCache>
                <c:formatCode>0%</c:formatCode>
                <c:ptCount val="3"/>
                <c:pt idx="0">
                  <c:v>0.11838429627931064</c:v>
                </c:pt>
                <c:pt idx="1">
                  <c:v>0.10588098844509193</c:v>
                </c:pt>
                <c:pt idx="2">
                  <c:v>0.16284646489167826</c:v>
                </c:pt>
              </c:numCache>
            </c:numRef>
          </c:val>
          <c:extLst>
            <c:ext xmlns:c16="http://schemas.microsoft.com/office/drawing/2014/chart" uri="{C3380CC4-5D6E-409C-BE32-E72D297353CC}">
              <c16:uniqueId val="{00000003-5C0C-4B9E-810E-D663383B0A16}"/>
            </c:ext>
          </c:extLst>
        </c:ser>
        <c:ser>
          <c:idx val="4"/>
          <c:order val="4"/>
          <c:tx>
            <c:strRef>
              <c:f>'U10m using hooks'!$B$167</c:f>
              <c:strCache>
                <c:ptCount val="1"/>
                <c:pt idx="0">
                  <c:v>Pollack</c:v>
                </c:pt>
              </c:strCache>
            </c:strRef>
          </c:tx>
          <c:spPr>
            <a:solidFill>
              <a:srgbClr val="E84A38"/>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hooks'!$C$167:$E$167</c:f>
              <c:numCache>
                <c:formatCode>0%</c:formatCode>
                <c:ptCount val="3"/>
                <c:pt idx="0">
                  <c:v>0</c:v>
                </c:pt>
                <c:pt idx="1">
                  <c:v>5.7924691536194561E-2</c:v>
                </c:pt>
                <c:pt idx="2">
                  <c:v>9.0670946927420393E-2</c:v>
                </c:pt>
              </c:numCache>
            </c:numRef>
          </c:val>
          <c:extLst>
            <c:ext xmlns:c16="http://schemas.microsoft.com/office/drawing/2014/chart" uri="{C3380CC4-5D6E-409C-BE32-E72D297353CC}">
              <c16:uniqueId val="{00000004-5C0C-4B9E-810E-D663383B0A16}"/>
            </c:ext>
          </c:extLst>
        </c:ser>
        <c:ser>
          <c:idx val="5"/>
          <c:order val="5"/>
          <c:tx>
            <c:strRef>
              <c:f>'U10m using hooks'!$B$168</c:f>
              <c:strCache>
                <c:ptCount val="1"/>
                <c:pt idx="0">
                  <c:v>Cod</c:v>
                </c:pt>
              </c:strCache>
            </c:strRef>
          </c:tx>
          <c:spPr>
            <a:solidFill>
              <a:srgbClr val="0F9AA9"/>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hooks'!$C$168:$E$168</c:f>
              <c:numCache>
                <c:formatCode>0%</c:formatCode>
                <c:ptCount val="3"/>
                <c:pt idx="0">
                  <c:v>8.3013290213265561E-2</c:v>
                </c:pt>
                <c:pt idx="1">
                  <c:v>0</c:v>
                </c:pt>
                <c:pt idx="2">
                  <c:v>5.5398467554326467E-2</c:v>
                </c:pt>
              </c:numCache>
            </c:numRef>
          </c:val>
          <c:extLst>
            <c:ext xmlns:c16="http://schemas.microsoft.com/office/drawing/2014/chart" uri="{C3380CC4-5D6E-409C-BE32-E72D297353CC}">
              <c16:uniqueId val="{00000005-5C0C-4B9E-810E-D663383B0A16}"/>
            </c:ext>
          </c:extLst>
        </c:ser>
        <c:ser>
          <c:idx val="6"/>
          <c:order val="6"/>
          <c:tx>
            <c:strRef>
              <c:f>'U10m using hooks'!$B$169</c:f>
              <c:strCache>
                <c:ptCount val="1"/>
                <c:pt idx="0">
                  <c:v>Others</c:v>
                </c:pt>
              </c:strCache>
            </c:strRef>
          </c:tx>
          <c:spPr>
            <a:solidFill>
              <a:srgbClr val="55585A"/>
            </a:solidFill>
            <a:ln>
              <a:solidFill>
                <a:srgbClr val="FFFFFF"/>
              </a:solidFill>
            </a:ln>
          </c:spPr>
          <c:invertIfNegative val="0"/>
          <c:cat>
            <c:strRef>
              <c:f>'U10m using hooks'!$C$162:$E$162</c:f>
              <c:strCache>
                <c:ptCount val="3"/>
                <c:pt idx="0">
                  <c:v>Most
profitable
quartile</c:v>
                </c:pt>
                <c:pt idx="1">
                  <c:v>Middle 
two quartiles</c:v>
                </c:pt>
                <c:pt idx="2">
                  <c:v>Least
profitable
quartile</c:v>
                </c:pt>
              </c:strCache>
            </c:strRef>
          </c:cat>
          <c:val>
            <c:numRef>
              <c:f>'U10m using hooks'!$C$169:$E$169</c:f>
              <c:numCache>
                <c:formatCode>0%</c:formatCode>
                <c:ptCount val="3"/>
                <c:pt idx="0">
                  <c:v>6.334564290794964E-2</c:v>
                </c:pt>
                <c:pt idx="1">
                  <c:v>7.1705460922998787E-2</c:v>
                </c:pt>
                <c:pt idx="2">
                  <c:v>9.9376415635875959E-2</c:v>
                </c:pt>
              </c:numCache>
            </c:numRef>
          </c:val>
          <c:extLst>
            <c:ext xmlns:c16="http://schemas.microsoft.com/office/drawing/2014/chart" uri="{C3380CC4-5D6E-409C-BE32-E72D297353CC}">
              <c16:uniqueId val="{00000006-5C0C-4B9E-810E-D663383B0A16}"/>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using hooks'!$H$163</c:f>
              <c:strCache>
                <c:ptCount val="1"/>
                <c:pt idx="0">
                  <c:v>Razor Clam</c:v>
                </c:pt>
              </c:strCache>
            </c:strRef>
          </c:tx>
          <c:spPr>
            <a:solidFill>
              <a:srgbClr val="E87308"/>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hooks'!$I$163:$K$163</c:f>
              <c:numCache>
                <c:formatCode>0%</c:formatCode>
                <c:ptCount val="3"/>
                <c:pt idx="0">
                  <c:v>0.52867082038337576</c:v>
                </c:pt>
                <c:pt idx="1">
                  <c:v>0.28654857603420619</c:v>
                </c:pt>
                <c:pt idx="2">
                  <c:v>0</c:v>
                </c:pt>
              </c:numCache>
            </c:numRef>
          </c:val>
          <c:extLst>
            <c:ext xmlns:c16="http://schemas.microsoft.com/office/drawing/2014/chart" uri="{C3380CC4-5D6E-409C-BE32-E72D297353CC}">
              <c16:uniqueId val="{00000000-6B4E-445D-AFBC-0823D1C3E9F0}"/>
            </c:ext>
          </c:extLst>
        </c:ser>
        <c:ser>
          <c:idx val="1"/>
          <c:order val="1"/>
          <c:tx>
            <c:strRef>
              <c:f>'U10m using hooks'!$H$164</c:f>
              <c:strCache>
                <c:ptCount val="1"/>
                <c:pt idx="0">
                  <c:v>Bass</c:v>
                </c:pt>
              </c:strCache>
            </c:strRef>
          </c:tx>
          <c:spPr>
            <a:solidFill>
              <a:srgbClr val="2273B9"/>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hooks'!$I$164:$K$164</c:f>
              <c:numCache>
                <c:formatCode>0%</c:formatCode>
                <c:ptCount val="3"/>
                <c:pt idx="0">
                  <c:v>0.25907205257019039</c:v>
                </c:pt>
                <c:pt idx="1">
                  <c:v>0.28648528309862609</c:v>
                </c:pt>
                <c:pt idx="2">
                  <c:v>0.51664847039865891</c:v>
                </c:pt>
              </c:numCache>
            </c:numRef>
          </c:val>
          <c:extLst>
            <c:ext xmlns:c16="http://schemas.microsoft.com/office/drawing/2014/chart" uri="{C3380CC4-5D6E-409C-BE32-E72D297353CC}">
              <c16:uniqueId val="{00000001-6B4E-445D-AFBC-0823D1C3E9F0}"/>
            </c:ext>
          </c:extLst>
        </c:ser>
        <c:ser>
          <c:idx val="2"/>
          <c:order val="2"/>
          <c:tx>
            <c:strRef>
              <c:f>'U10m using hooks'!$H$165</c:f>
              <c:strCache>
                <c:ptCount val="1"/>
                <c:pt idx="0">
                  <c:v>Mackerel</c:v>
                </c:pt>
              </c:strCache>
            </c:strRef>
          </c:tx>
          <c:spPr>
            <a:solidFill>
              <a:srgbClr val="648C2E"/>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hooks'!$I$165:$K$165</c:f>
              <c:numCache>
                <c:formatCode>0%</c:formatCode>
                <c:ptCount val="3"/>
                <c:pt idx="0">
                  <c:v>0.10930152380324877</c:v>
                </c:pt>
                <c:pt idx="1">
                  <c:v>0.16173343369064808</c:v>
                </c:pt>
                <c:pt idx="2">
                  <c:v>0.16555830042699821</c:v>
                </c:pt>
              </c:numCache>
            </c:numRef>
          </c:val>
          <c:extLst>
            <c:ext xmlns:c16="http://schemas.microsoft.com/office/drawing/2014/chart" uri="{C3380CC4-5D6E-409C-BE32-E72D297353CC}">
              <c16:uniqueId val="{00000002-6B4E-445D-AFBC-0823D1C3E9F0}"/>
            </c:ext>
          </c:extLst>
        </c:ser>
        <c:ser>
          <c:idx val="3"/>
          <c:order val="3"/>
          <c:tx>
            <c:strRef>
              <c:f>'U10m using hooks'!$H$166</c:f>
              <c:strCache>
                <c:ptCount val="1"/>
                <c:pt idx="0">
                  <c:v>Scallops</c:v>
                </c:pt>
              </c:strCache>
            </c:strRef>
          </c:tx>
          <c:spPr>
            <a:solidFill>
              <a:srgbClr val="C1D119"/>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hooks'!$I$166:$K$166</c:f>
              <c:numCache>
                <c:formatCode>0%</c:formatCode>
                <c:ptCount val="3"/>
                <c:pt idx="0">
                  <c:v>1.5315402533263998E-2</c:v>
                </c:pt>
                <c:pt idx="1">
                  <c:v>0.15543782786411064</c:v>
                </c:pt>
                <c:pt idx="2">
                  <c:v>9.6498748935716722E-2</c:v>
                </c:pt>
              </c:numCache>
            </c:numRef>
          </c:val>
          <c:extLst>
            <c:ext xmlns:c16="http://schemas.microsoft.com/office/drawing/2014/chart" uri="{C3380CC4-5D6E-409C-BE32-E72D297353CC}">
              <c16:uniqueId val="{00000003-6B4E-445D-AFBC-0823D1C3E9F0}"/>
            </c:ext>
          </c:extLst>
        </c:ser>
        <c:ser>
          <c:idx val="4"/>
          <c:order val="4"/>
          <c:tx>
            <c:strRef>
              <c:f>'U10m using hooks'!$H$167</c:f>
              <c:strCache>
                <c:ptCount val="1"/>
                <c:pt idx="0">
                  <c:v>Pollack</c:v>
                </c:pt>
              </c:strCache>
            </c:strRef>
          </c:tx>
          <c:spPr>
            <a:solidFill>
              <a:srgbClr val="E84A38"/>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hooks'!$I$167:$K$167</c:f>
              <c:numCache>
                <c:formatCode>0%</c:formatCode>
                <c:ptCount val="3"/>
                <c:pt idx="0">
                  <c:v>0</c:v>
                </c:pt>
                <c:pt idx="1">
                  <c:v>4.9768138907209408E-2</c:v>
                </c:pt>
                <c:pt idx="2">
                  <c:v>9.6469026475097572E-2</c:v>
                </c:pt>
              </c:numCache>
            </c:numRef>
          </c:val>
          <c:extLst>
            <c:ext xmlns:c16="http://schemas.microsoft.com/office/drawing/2014/chart" uri="{C3380CC4-5D6E-409C-BE32-E72D297353CC}">
              <c16:uniqueId val="{00000004-6B4E-445D-AFBC-0823D1C3E9F0}"/>
            </c:ext>
          </c:extLst>
        </c:ser>
        <c:ser>
          <c:idx val="5"/>
          <c:order val="5"/>
          <c:tx>
            <c:strRef>
              <c:f>'U10m using hooks'!$H$168</c:f>
              <c:strCache>
                <c:ptCount val="1"/>
                <c:pt idx="0">
                  <c:v>Cod</c:v>
                </c:pt>
              </c:strCache>
            </c:strRef>
          </c:tx>
          <c:spPr>
            <a:solidFill>
              <a:srgbClr val="0F9AA9"/>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hooks'!$I$168:$K$168</c:f>
              <c:numCache>
                <c:formatCode>0%</c:formatCode>
                <c:ptCount val="3"/>
                <c:pt idx="0">
                  <c:v>5.242069163094612E-2</c:v>
                </c:pt>
                <c:pt idx="1">
                  <c:v>0</c:v>
                </c:pt>
                <c:pt idx="2">
                  <c:v>5.0224368676418961E-2</c:v>
                </c:pt>
              </c:numCache>
            </c:numRef>
          </c:val>
          <c:extLst>
            <c:ext xmlns:c16="http://schemas.microsoft.com/office/drawing/2014/chart" uri="{C3380CC4-5D6E-409C-BE32-E72D297353CC}">
              <c16:uniqueId val="{00000005-6B4E-445D-AFBC-0823D1C3E9F0}"/>
            </c:ext>
          </c:extLst>
        </c:ser>
        <c:ser>
          <c:idx val="6"/>
          <c:order val="6"/>
          <c:tx>
            <c:strRef>
              <c:f>'U10m using hooks'!$H$169</c:f>
              <c:strCache>
                <c:ptCount val="1"/>
                <c:pt idx="0">
                  <c:v>Others</c:v>
                </c:pt>
              </c:strCache>
            </c:strRef>
          </c:tx>
          <c:spPr>
            <a:solidFill>
              <a:srgbClr val="55585A"/>
            </a:solidFill>
            <a:ln>
              <a:solidFill>
                <a:srgbClr val="FFFFFF"/>
              </a:solidFill>
            </a:ln>
          </c:spPr>
          <c:invertIfNegative val="0"/>
          <c:cat>
            <c:strRef>
              <c:f>'U10m using hooks'!$I$162:$K$162</c:f>
              <c:strCache>
                <c:ptCount val="3"/>
                <c:pt idx="0">
                  <c:v>Most
profitable
quartile</c:v>
                </c:pt>
                <c:pt idx="1">
                  <c:v>Middle 
two quartiles</c:v>
                </c:pt>
                <c:pt idx="2">
                  <c:v>Least
profitable
quartile</c:v>
                </c:pt>
              </c:strCache>
            </c:strRef>
          </c:cat>
          <c:val>
            <c:numRef>
              <c:f>'U10m using hooks'!$I$169:$K$169</c:f>
              <c:numCache>
                <c:formatCode>0%</c:formatCode>
                <c:ptCount val="3"/>
                <c:pt idx="0">
                  <c:v>3.5219509078974975E-2</c:v>
                </c:pt>
                <c:pt idx="1">
                  <c:v>6.0026740405199508E-2</c:v>
                </c:pt>
                <c:pt idx="2">
                  <c:v>7.4601085087109498E-2</c:v>
                </c:pt>
              </c:numCache>
            </c:numRef>
          </c:val>
          <c:extLst>
            <c:ext xmlns:c16="http://schemas.microsoft.com/office/drawing/2014/chart" uri="{C3380CC4-5D6E-409C-BE32-E72D297353CC}">
              <c16:uniqueId val="{00000006-6B4E-445D-AFBC-0823D1C3E9F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using hooks'!$K$140</c:f>
              <c:strCache>
                <c:ptCount val="1"/>
                <c:pt idx="0">
                  <c:v>Total income</c:v>
                </c:pt>
              </c:strCache>
            </c:strRef>
          </c:tx>
          <c:spPr>
            <a:solidFill>
              <a:srgbClr val="087CBB"/>
            </a:solidFill>
            <a:ln>
              <a:solidFill>
                <a:schemeClr val="accent1"/>
              </a:solidFill>
            </a:ln>
          </c:spPr>
          <c:invertIfNegative val="0"/>
          <c:cat>
            <c:strRef>
              <c:f>'U10m using hooks'!$L$139:$N$139</c:f>
              <c:strCache>
                <c:ptCount val="3"/>
                <c:pt idx="0">
                  <c:v>Most
profitable
quartile</c:v>
                </c:pt>
                <c:pt idx="1">
                  <c:v>Middle
two quartiles</c:v>
                </c:pt>
                <c:pt idx="2">
                  <c:v>Least
profitable
quartile</c:v>
                </c:pt>
              </c:strCache>
            </c:strRef>
          </c:cat>
          <c:val>
            <c:numRef>
              <c:f>'U10m using hooks'!$L$140:$N$140</c:f>
              <c:numCache>
                <c:formatCode>#,##0</c:formatCode>
                <c:ptCount val="3"/>
                <c:pt idx="0">
                  <c:v>56.446949218749999</c:v>
                </c:pt>
                <c:pt idx="1">
                  <c:v>40.329208007812497</c:v>
                </c:pt>
                <c:pt idx="2">
                  <c:v>30.789939453125001</c:v>
                </c:pt>
              </c:numCache>
            </c:numRef>
          </c:val>
          <c:extLst>
            <c:ext xmlns:c16="http://schemas.microsoft.com/office/drawing/2014/chart" uri="{C3380CC4-5D6E-409C-BE32-E72D297353CC}">
              <c16:uniqueId val="{00000000-0F9F-4711-85AF-462175EFE23A}"/>
            </c:ext>
          </c:extLst>
        </c:ser>
        <c:ser>
          <c:idx val="1"/>
          <c:order val="1"/>
          <c:tx>
            <c:strRef>
              <c:f>'U10m using hooks'!$K$141</c:f>
              <c:strCache>
                <c:ptCount val="1"/>
                <c:pt idx="0">
                  <c:v>Operating costs</c:v>
                </c:pt>
              </c:strCache>
            </c:strRef>
          </c:tx>
          <c:spPr>
            <a:solidFill>
              <a:srgbClr val="E87308"/>
            </a:solidFill>
          </c:spPr>
          <c:invertIfNegative val="0"/>
          <c:cat>
            <c:strRef>
              <c:f>'U10m using hooks'!$L$139:$N$139</c:f>
              <c:strCache>
                <c:ptCount val="3"/>
                <c:pt idx="0">
                  <c:v>Most
profitable
quartile</c:v>
                </c:pt>
                <c:pt idx="1">
                  <c:v>Middle
two quartiles</c:v>
                </c:pt>
                <c:pt idx="2">
                  <c:v>Least
profitable
quartile</c:v>
                </c:pt>
              </c:strCache>
            </c:strRef>
          </c:cat>
          <c:val>
            <c:numRef>
              <c:f>'U10m using hooks'!$L$141:$N$141</c:f>
              <c:numCache>
                <c:formatCode>#,##0</c:formatCode>
                <c:ptCount val="3"/>
                <c:pt idx="0">
                  <c:v>32.063562500000003</c:v>
                </c:pt>
                <c:pt idx="1">
                  <c:v>24.235679687499999</c:v>
                </c:pt>
                <c:pt idx="2">
                  <c:v>21.177703125000001</c:v>
                </c:pt>
              </c:numCache>
            </c:numRef>
          </c:val>
          <c:extLst>
            <c:ext xmlns:c16="http://schemas.microsoft.com/office/drawing/2014/chart" uri="{C3380CC4-5D6E-409C-BE32-E72D297353CC}">
              <c16:uniqueId val="{00000001-0F9F-4711-85AF-462175EFE23A}"/>
            </c:ext>
          </c:extLst>
        </c:ser>
        <c:ser>
          <c:idx val="2"/>
          <c:order val="2"/>
          <c:tx>
            <c:strRef>
              <c:f>'U10m using hooks'!$K$142</c:f>
              <c:strCache>
                <c:ptCount val="1"/>
                <c:pt idx="0">
                  <c:v>Operating profit</c:v>
                </c:pt>
              </c:strCache>
            </c:strRef>
          </c:tx>
          <c:spPr>
            <a:solidFill>
              <a:srgbClr val="51AA81"/>
            </a:solidFill>
          </c:spPr>
          <c:invertIfNegative val="0"/>
          <c:cat>
            <c:strRef>
              <c:f>'U10m using hooks'!$L$139:$N$139</c:f>
              <c:strCache>
                <c:ptCount val="3"/>
                <c:pt idx="0">
                  <c:v>Most
profitable
quartile</c:v>
                </c:pt>
                <c:pt idx="1">
                  <c:v>Middle
two quartiles</c:v>
                </c:pt>
                <c:pt idx="2">
                  <c:v>Least
profitable
quartile</c:v>
                </c:pt>
              </c:strCache>
            </c:strRef>
          </c:cat>
          <c:val>
            <c:numRef>
              <c:f>'U10m using hooks'!$L$142:$N$142</c:f>
              <c:numCache>
                <c:formatCode>#,##0</c:formatCode>
                <c:ptCount val="3"/>
                <c:pt idx="0">
                  <c:v>24.38338671875</c:v>
                </c:pt>
                <c:pt idx="1">
                  <c:v>16.093528320312501</c:v>
                </c:pt>
                <c:pt idx="2">
                  <c:v>9.6122363281250003</c:v>
                </c:pt>
              </c:numCache>
            </c:numRef>
          </c:val>
          <c:extLst>
            <c:ext xmlns:c16="http://schemas.microsoft.com/office/drawing/2014/chart" uri="{C3380CC4-5D6E-409C-BE32-E72D297353CC}">
              <c16:uniqueId val="{00000002-0F9F-4711-85AF-462175EFE23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using hooks'!$K$143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250kW'!$A$49</c:f>
          <c:strCache>
            <c:ptCount val="1"/>
            <c:pt idx="0">
              <c:v>Landings per kW day at sea (kg)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F9D-4DDF-A554-FA05A901D39F}"/>
              </c:ext>
            </c:extLst>
          </c:dPt>
          <c:dPt>
            <c:idx val="10"/>
            <c:bubble3D val="0"/>
            <c:spPr>
              <a:ln w="57150">
                <a:solidFill>
                  <a:srgbClr val="2273B9"/>
                </a:solidFill>
                <a:prstDash val="sysDot"/>
              </a:ln>
            </c:spPr>
            <c:extLst>
              <c:ext xmlns:c16="http://schemas.microsoft.com/office/drawing/2014/chart" uri="{C3380CC4-5D6E-409C-BE32-E72D297353CC}">
                <c16:uniqueId val="{00000003-3F9D-4DDF-A554-FA05A901D39F}"/>
              </c:ext>
            </c:extLst>
          </c:dPt>
          <c:cat>
            <c:numRef>
              <c:f>'WOS nephrops over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over 250kW'!$D$22:$N$22</c:f>
              <c:numCache>
                <c:formatCode>#,##0.00</c:formatCode>
                <c:ptCount val="11"/>
                <c:pt idx="0">
                  <c:v>2.9922154868455353</c:v>
                </c:pt>
                <c:pt idx="1">
                  <c:v>2.5581684467125867</c:v>
                </c:pt>
                <c:pt idx="2">
                  <c:v>2.6258873452062752</c:v>
                </c:pt>
                <c:pt idx="3">
                  <c:v>2.2740631791526993</c:v>
                </c:pt>
                <c:pt idx="4">
                  <c:v>2.7163436092090691</c:v>
                </c:pt>
                <c:pt idx="5">
                  <c:v>2.476189791271969</c:v>
                </c:pt>
                <c:pt idx="6">
                  <c:v>1.8524710411230856</c:v>
                </c:pt>
                <c:pt idx="7">
                  <c:v>2.530334505139392</c:v>
                </c:pt>
                <c:pt idx="8">
                  <c:v>2.2726202738731365</c:v>
                </c:pt>
                <c:pt idx="9">
                  <c:v>2.4522328702462906</c:v>
                </c:pt>
                <c:pt idx="10">
                  <c:v>2.2574491011319187</c:v>
                </c:pt>
              </c:numCache>
            </c:numRef>
          </c:val>
          <c:smooth val="0"/>
          <c:extLst>
            <c:ext xmlns:c16="http://schemas.microsoft.com/office/drawing/2014/chart" uri="{C3380CC4-5D6E-409C-BE32-E72D297353CC}">
              <c16:uniqueId val="{00000004-3F9D-4DDF-A554-FA05A901D39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250kW'!$A$50</c:f>
          <c:strCache>
            <c:ptCount val="1"/>
            <c:pt idx="0">
              <c:v>Fishing income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7242-4C5A-B3CD-9A532B698788}"/>
              </c:ext>
            </c:extLst>
          </c:dPt>
          <c:dPt>
            <c:idx val="10"/>
            <c:bubble3D val="0"/>
            <c:spPr>
              <a:ln w="57150">
                <a:solidFill>
                  <a:srgbClr val="648C2E"/>
                </a:solidFill>
                <a:prstDash val="sysDot"/>
              </a:ln>
            </c:spPr>
            <c:extLst>
              <c:ext xmlns:c16="http://schemas.microsoft.com/office/drawing/2014/chart" uri="{C3380CC4-5D6E-409C-BE32-E72D297353CC}">
                <c16:uniqueId val="{00000003-7242-4C5A-B3CD-9A532B698788}"/>
              </c:ext>
            </c:extLst>
          </c:dPt>
          <c:cat>
            <c:numRef>
              <c:f>'WOS nephrops over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over 250kW'!$D$23:$N$23</c:f>
              <c:numCache>
                <c:formatCode>#,##0.00</c:formatCode>
                <c:ptCount val="11"/>
                <c:pt idx="0">
                  <c:v>7.80205361152463</c:v>
                </c:pt>
                <c:pt idx="1">
                  <c:v>6.7379885143175997</c:v>
                </c:pt>
                <c:pt idx="2">
                  <c:v>6.7298120325523696</c:v>
                </c:pt>
                <c:pt idx="3">
                  <c:v>6.2623169176980502</c:v>
                </c:pt>
                <c:pt idx="4">
                  <c:v>6.8180081375110904</c:v>
                </c:pt>
                <c:pt idx="5">
                  <c:v>6.4279702397247904</c:v>
                </c:pt>
                <c:pt idx="6">
                  <c:v>6.1359625452159001</c:v>
                </c:pt>
                <c:pt idx="7">
                  <c:v>7.6478715268229296</c:v>
                </c:pt>
                <c:pt idx="8">
                  <c:v>4.7220652927505897</c:v>
                </c:pt>
                <c:pt idx="9">
                  <c:v>5.5600111475667902</c:v>
                </c:pt>
                <c:pt idx="10">
                  <c:v>6.9397477105591925</c:v>
                </c:pt>
              </c:numCache>
            </c:numRef>
          </c:val>
          <c:smooth val="0"/>
          <c:extLst>
            <c:ext xmlns:c16="http://schemas.microsoft.com/office/drawing/2014/chart" uri="{C3380CC4-5D6E-409C-BE32-E72D297353CC}">
              <c16:uniqueId val="{00000004-7242-4C5A-B3CD-9A532B69878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250kW'!$B$63</c:f>
          <c:strCache>
            <c:ptCount val="1"/>
            <c:pt idx="0">
              <c:v>Total cost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7FC-44B6-B6F4-AFA9DFE702CD}"/>
              </c:ext>
            </c:extLst>
          </c:dPt>
          <c:dPt>
            <c:idx val="10"/>
            <c:bubble3D val="0"/>
            <c:spPr>
              <a:ln w="57150">
                <a:solidFill>
                  <a:srgbClr val="087CBB"/>
                </a:solidFill>
                <a:prstDash val="sysDot"/>
              </a:ln>
            </c:spPr>
            <c:extLst>
              <c:ext xmlns:c16="http://schemas.microsoft.com/office/drawing/2014/chart" uri="{C3380CC4-5D6E-409C-BE32-E72D297353CC}">
                <c16:uniqueId val="{00000003-A7FC-44B6-B6F4-AFA9DFE702CD}"/>
              </c:ext>
            </c:extLst>
          </c:dPt>
          <c:cat>
            <c:numRef>
              <c:f>'WOS nephrops over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over 250kW'!$D$24:$N$24</c:f>
              <c:numCache>
                <c:formatCode>#,##0.00</c:formatCode>
                <c:ptCount val="11"/>
                <c:pt idx="0">
                  <c:v>6.4549152428782399</c:v>
                </c:pt>
                <c:pt idx="1">
                  <c:v>5.9920803108530798</c:v>
                </c:pt>
                <c:pt idx="2">
                  <c:v>5.8873460658846897</c:v>
                </c:pt>
                <c:pt idx="3">
                  <c:v>5.4328723032423998</c:v>
                </c:pt>
                <c:pt idx="4">
                  <c:v>5.7511719190484403</c:v>
                </c:pt>
                <c:pt idx="5">
                  <c:v>6.0157805176002501</c:v>
                </c:pt>
                <c:pt idx="6">
                  <c:v>5.92070399783002</c:v>
                </c:pt>
                <c:pt idx="7">
                  <c:v>6.6612820536499697</c:v>
                </c:pt>
                <c:pt idx="8">
                  <c:v>4.8835905126098904</c:v>
                </c:pt>
                <c:pt idx="9">
                  <c:v>5.5930531027951904</c:v>
                </c:pt>
                <c:pt idx="10">
                  <c:v>7.2963592949351517</c:v>
                </c:pt>
              </c:numCache>
            </c:numRef>
          </c:val>
          <c:smooth val="0"/>
          <c:extLst>
            <c:ext xmlns:c16="http://schemas.microsoft.com/office/drawing/2014/chart" uri="{C3380CC4-5D6E-409C-BE32-E72D297353CC}">
              <c16:uniqueId val="{00000004-A7FC-44B6-B6F4-AFA9DFE702C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u250kW'!$B$163</c:f>
              <c:strCache>
                <c:ptCount val="1"/>
                <c:pt idx="0">
                  <c:v>Nephrops</c:v>
                </c:pt>
              </c:strCache>
            </c:strRef>
          </c:tx>
          <c:spPr>
            <a:solidFill>
              <a:srgbClr val="2273B9"/>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u250kW'!$C$163:$E$163</c:f>
              <c:numCache>
                <c:formatCode>0%</c:formatCode>
                <c:ptCount val="3"/>
                <c:pt idx="0">
                  <c:v>0.86378407594196127</c:v>
                </c:pt>
                <c:pt idx="1">
                  <c:v>0.76253683139139206</c:v>
                </c:pt>
                <c:pt idx="2">
                  <c:v>0.85602057477644566</c:v>
                </c:pt>
              </c:numCache>
            </c:numRef>
          </c:val>
          <c:extLst>
            <c:ext xmlns:c16="http://schemas.microsoft.com/office/drawing/2014/chart" uri="{C3380CC4-5D6E-409C-BE32-E72D297353CC}">
              <c16:uniqueId val="{00000000-5867-437A-B123-360A1D4FF65D}"/>
            </c:ext>
          </c:extLst>
        </c:ser>
        <c:ser>
          <c:idx val="1"/>
          <c:order val="1"/>
          <c:tx>
            <c:strRef>
              <c:f>'Area VIIa nephrops u250kW'!$B$164</c:f>
              <c:strCache>
                <c:ptCount val="1"/>
                <c:pt idx="0">
                  <c:v>Scallops</c:v>
                </c:pt>
              </c:strCache>
            </c:strRef>
          </c:tx>
          <c:spPr>
            <a:solidFill>
              <a:srgbClr val="E87308"/>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u250kW'!$C$164:$E$164</c:f>
              <c:numCache>
                <c:formatCode>0%</c:formatCode>
                <c:ptCount val="3"/>
                <c:pt idx="0">
                  <c:v>0</c:v>
                </c:pt>
                <c:pt idx="1">
                  <c:v>0.10211503079691751</c:v>
                </c:pt>
                <c:pt idx="2">
                  <c:v>4.4571033352956667E-2</c:v>
                </c:pt>
              </c:numCache>
            </c:numRef>
          </c:val>
          <c:extLst>
            <c:ext xmlns:c16="http://schemas.microsoft.com/office/drawing/2014/chart" uri="{C3380CC4-5D6E-409C-BE32-E72D297353CC}">
              <c16:uniqueId val="{00000001-5867-437A-B123-360A1D4FF65D}"/>
            </c:ext>
          </c:extLst>
        </c:ser>
        <c:ser>
          <c:idx val="2"/>
          <c:order val="2"/>
          <c:tx>
            <c:strRef>
              <c:f>'Area VIIa nephrops u250kW'!$B$165</c:f>
              <c:strCache>
                <c:ptCount val="1"/>
                <c:pt idx="0">
                  <c:v>Les. Spot. Dog</c:v>
                </c:pt>
              </c:strCache>
            </c:strRef>
          </c:tx>
          <c:spPr>
            <a:solidFill>
              <a:srgbClr val="C1D119"/>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u250kW'!$C$165:$E$165</c:f>
              <c:numCache>
                <c:formatCode>0%</c:formatCode>
                <c:ptCount val="3"/>
                <c:pt idx="0">
                  <c:v>7.8866445211604019E-2</c:v>
                </c:pt>
                <c:pt idx="1">
                  <c:v>4.3687969126431588E-2</c:v>
                </c:pt>
                <c:pt idx="2">
                  <c:v>2.1545964298548003E-2</c:v>
                </c:pt>
              </c:numCache>
            </c:numRef>
          </c:val>
          <c:extLst>
            <c:ext xmlns:c16="http://schemas.microsoft.com/office/drawing/2014/chart" uri="{C3380CC4-5D6E-409C-BE32-E72D297353CC}">
              <c16:uniqueId val="{00000002-5867-437A-B123-360A1D4FF65D}"/>
            </c:ext>
          </c:extLst>
        </c:ser>
        <c:ser>
          <c:idx val="3"/>
          <c:order val="3"/>
          <c:tx>
            <c:strRef>
              <c:f>'Area VIIa nephrops u250kW'!$B$166</c:f>
              <c:strCache>
                <c:ptCount val="1"/>
                <c:pt idx="0">
                  <c:v>Thornback Ray</c:v>
                </c:pt>
              </c:strCache>
            </c:strRef>
          </c:tx>
          <c:spPr>
            <a:solidFill>
              <a:srgbClr val="FED825"/>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u250kW'!$C$166:$E$166</c:f>
              <c:numCache>
                <c:formatCode>0%</c:formatCode>
                <c:ptCount val="3"/>
                <c:pt idx="0">
                  <c:v>9.2585964897769126E-3</c:v>
                </c:pt>
                <c:pt idx="1">
                  <c:v>2.0282943181964861E-2</c:v>
                </c:pt>
                <c:pt idx="2">
                  <c:v>0</c:v>
                </c:pt>
              </c:numCache>
            </c:numRef>
          </c:val>
          <c:extLst>
            <c:ext xmlns:c16="http://schemas.microsoft.com/office/drawing/2014/chart" uri="{C3380CC4-5D6E-409C-BE32-E72D297353CC}">
              <c16:uniqueId val="{00000003-5867-437A-B123-360A1D4FF65D}"/>
            </c:ext>
          </c:extLst>
        </c:ser>
        <c:ser>
          <c:idx val="4"/>
          <c:order val="4"/>
          <c:tx>
            <c:strRef>
              <c:f>'Area VIIa nephrops u250kW'!$B$167</c:f>
              <c:strCache>
                <c:ptCount val="1"/>
                <c:pt idx="0">
                  <c:v>Plaice</c:v>
                </c:pt>
              </c:strCache>
            </c:strRef>
          </c:tx>
          <c:spPr>
            <a:solidFill>
              <a:srgbClr val="707271"/>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u250kW'!$C$167:$E$167</c:f>
              <c:numCache>
                <c:formatCode>0%</c:formatCode>
                <c:ptCount val="3"/>
                <c:pt idx="0">
                  <c:v>0</c:v>
                </c:pt>
                <c:pt idx="1">
                  <c:v>1.8919902930732976E-2</c:v>
                </c:pt>
                <c:pt idx="2">
                  <c:v>0</c:v>
                </c:pt>
              </c:numCache>
            </c:numRef>
          </c:val>
          <c:extLst>
            <c:ext xmlns:c16="http://schemas.microsoft.com/office/drawing/2014/chart" uri="{C3380CC4-5D6E-409C-BE32-E72D297353CC}">
              <c16:uniqueId val="{00000004-5867-437A-B123-360A1D4FF65D}"/>
            </c:ext>
          </c:extLst>
        </c:ser>
        <c:ser>
          <c:idx val="5"/>
          <c:order val="5"/>
          <c:tx>
            <c:strRef>
              <c:f>'Area VIIa nephrops u250kW'!$B$168</c:f>
              <c:strCache>
                <c:ptCount val="1"/>
                <c:pt idx="0">
                  <c:v>Whelks</c:v>
                </c:pt>
              </c:strCache>
            </c:strRef>
          </c:tx>
          <c:spPr>
            <a:solidFill>
              <a:srgbClr val="169FDB"/>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u250kW'!$C$168:$E$168</c:f>
              <c:numCache>
                <c:formatCode>0%</c:formatCode>
                <c:ptCount val="3"/>
                <c:pt idx="0">
                  <c:v>0</c:v>
                </c:pt>
                <c:pt idx="1">
                  <c:v>0</c:v>
                </c:pt>
                <c:pt idx="2">
                  <c:v>2.0659839228788116E-2</c:v>
                </c:pt>
              </c:numCache>
            </c:numRef>
          </c:val>
          <c:extLst>
            <c:ext xmlns:c16="http://schemas.microsoft.com/office/drawing/2014/chart" uri="{C3380CC4-5D6E-409C-BE32-E72D297353CC}">
              <c16:uniqueId val="{00000005-5867-437A-B123-360A1D4FF65D}"/>
            </c:ext>
          </c:extLst>
        </c:ser>
        <c:ser>
          <c:idx val="6"/>
          <c:order val="6"/>
          <c:tx>
            <c:strRef>
              <c:f>'Area VIIa nephrops u250kW'!$B$169</c:f>
              <c:strCache>
                <c:ptCount val="1"/>
                <c:pt idx="0">
                  <c:v>Anglerfish</c:v>
                </c:pt>
              </c:strCache>
            </c:strRef>
          </c:tx>
          <c:spPr>
            <a:solidFill>
              <a:srgbClr val="648C2E"/>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u250kW'!$C$169:$E$169</c:f>
              <c:numCache>
                <c:formatCode>0%</c:formatCode>
                <c:ptCount val="3"/>
                <c:pt idx="0">
                  <c:v>2.0774958394764974E-2</c:v>
                </c:pt>
                <c:pt idx="1">
                  <c:v>0</c:v>
                </c:pt>
                <c:pt idx="2">
                  <c:v>1.0890436936310836E-2</c:v>
                </c:pt>
              </c:numCache>
            </c:numRef>
          </c:val>
          <c:extLst>
            <c:ext xmlns:c16="http://schemas.microsoft.com/office/drawing/2014/chart" uri="{C3380CC4-5D6E-409C-BE32-E72D297353CC}">
              <c16:uniqueId val="{00000006-5867-437A-B123-360A1D4FF65D}"/>
            </c:ext>
          </c:extLst>
        </c:ser>
        <c:ser>
          <c:idx val="7"/>
          <c:order val="7"/>
          <c:tx>
            <c:strRef>
              <c:f>'Area VIIa nephrops u250kW'!$B$170</c:f>
              <c:strCache>
                <c:ptCount val="1"/>
                <c:pt idx="0">
                  <c:v>Haddock</c:v>
                </c:pt>
              </c:strCache>
            </c:strRef>
          </c:tx>
          <c:spPr>
            <a:solidFill>
              <a:srgbClr val="0F9AA9"/>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u250kW'!$C$170:$E$170</c:f>
              <c:numCache>
                <c:formatCode>0%</c:formatCode>
                <c:ptCount val="3"/>
                <c:pt idx="0">
                  <c:v>1.3001801911710339E-2</c:v>
                </c:pt>
                <c:pt idx="1">
                  <c:v>0</c:v>
                </c:pt>
                <c:pt idx="2">
                  <c:v>0</c:v>
                </c:pt>
              </c:numCache>
            </c:numRef>
          </c:val>
          <c:extLst>
            <c:ext xmlns:c16="http://schemas.microsoft.com/office/drawing/2014/chart" uri="{C3380CC4-5D6E-409C-BE32-E72D297353CC}">
              <c16:uniqueId val="{00000007-5867-437A-B123-360A1D4FF65D}"/>
            </c:ext>
          </c:extLst>
        </c:ser>
        <c:ser>
          <c:idx val="8"/>
          <c:order val="8"/>
          <c:tx>
            <c:strRef>
              <c:f>'Area VIIa nephrops u250kW'!$B$171</c:f>
              <c:strCache>
                <c:ptCount val="1"/>
                <c:pt idx="0">
                  <c:v>Others</c:v>
                </c:pt>
              </c:strCache>
            </c:strRef>
          </c:tx>
          <c:spPr>
            <a:solidFill>
              <a:srgbClr val="55585A"/>
            </a:solidFill>
            <a:ln>
              <a:solidFill>
                <a:srgbClr val="FFFFFF"/>
              </a:solidFill>
            </a:ln>
          </c:spPr>
          <c:invertIfNegative val="0"/>
          <c:cat>
            <c:strRef>
              <c:f>'Area VIIa nephrops u250kW'!$C$162:$E$162</c:f>
              <c:strCache>
                <c:ptCount val="3"/>
                <c:pt idx="0">
                  <c:v>Most
profitable
quartile</c:v>
                </c:pt>
                <c:pt idx="1">
                  <c:v>Middle 
two quartiles</c:v>
                </c:pt>
                <c:pt idx="2">
                  <c:v>Least
profitable
quartile</c:v>
                </c:pt>
              </c:strCache>
            </c:strRef>
          </c:cat>
          <c:val>
            <c:numRef>
              <c:f>'Area VIIa nephrops u250kW'!$C$171:$E$171</c:f>
              <c:numCache>
                <c:formatCode>0%</c:formatCode>
                <c:ptCount val="3"/>
                <c:pt idx="0">
                  <c:v>1.4314122050182565E-2</c:v>
                </c:pt>
                <c:pt idx="1">
                  <c:v>5.2457322572560972E-2</c:v>
                </c:pt>
                <c:pt idx="2">
                  <c:v>4.6312151406950663E-2</c:v>
                </c:pt>
              </c:numCache>
            </c:numRef>
          </c:val>
          <c:extLst>
            <c:ext xmlns:c16="http://schemas.microsoft.com/office/drawing/2014/chart" uri="{C3380CC4-5D6E-409C-BE32-E72D297353CC}">
              <c16:uniqueId val="{00000008-5867-437A-B123-360A1D4FF65D}"/>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250kW'!$K$49</c:f>
          <c:strCache>
            <c:ptCount val="1"/>
            <c:pt idx="0">
              <c:v>Operating profit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2EDF-4D95-ADBE-33653B9423B4}"/>
              </c:ext>
            </c:extLst>
          </c:dPt>
          <c:dPt>
            <c:idx val="10"/>
            <c:bubble3D val="0"/>
            <c:spPr>
              <a:ln w="57150">
                <a:solidFill>
                  <a:schemeClr val="accent3"/>
                </a:solidFill>
                <a:prstDash val="sysDot"/>
              </a:ln>
            </c:spPr>
            <c:extLst>
              <c:ext xmlns:c16="http://schemas.microsoft.com/office/drawing/2014/chart" uri="{C3380CC4-5D6E-409C-BE32-E72D297353CC}">
                <c16:uniqueId val="{00000003-2EDF-4D95-ADBE-33653B9423B4}"/>
              </c:ext>
            </c:extLst>
          </c:dPt>
          <c:cat>
            <c:numRef>
              <c:f>'WOS nephrops over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over 250kW'!$D$25:$N$25</c:f>
              <c:numCache>
                <c:formatCode>#,##0.00</c:formatCode>
                <c:ptCount val="11"/>
                <c:pt idx="0">
                  <c:v>1.7761255523078301</c:v>
                </c:pt>
                <c:pt idx="1">
                  <c:v>0.87455297437295199</c:v>
                </c:pt>
                <c:pt idx="2">
                  <c:v>1.39722344373549</c:v>
                </c:pt>
                <c:pt idx="3">
                  <c:v>0.99323424027321405</c:v>
                </c:pt>
                <c:pt idx="4">
                  <c:v>1.1936913161460301</c:v>
                </c:pt>
                <c:pt idx="5">
                  <c:v>0.93081683993500997</c:v>
                </c:pt>
                <c:pt idx="6">
                  <c:v>0.39806442264838299</c:v>
                </c:pt>
                <c:pt idx="7">
                  <c:v>1.146049241849</c:v>
                </c:pt>
                <c:pt idx="8">
                  <c:v>0.48151393457731101</c:v>
                </c:pt>
                <c:pt idx="9">
                  <c:v>0.39633567560771799</c:v>
                </c:pt>
                <c:pt idx="10">
                  <c:v>0.10126946412760741</c:v>
                </c:pt>
              </c:numCache>
            </c:numRef>
          </c:val>
          <c:smooth val="0"/>
          <c:extLst>
            <c:ext xmlns:c16="http://schemas.microsoft.com/office/drawing/2014/chart" uri="{C3380CC4-5D6E-409C-BE32-E72D297353CC}">
              <c16:uniqueId val="{00000004-2EDF-4D95-ADBE-33653B9423B4}"/>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250kW'!$A$51</c:f>
          <c:strCache>
            <c:ptCount val="1"/>
            <c:pt idx="0">
              <c:v>Average price per tonne landed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C60-42E8-9696-1BDCC8901E89}"/>
              </c:ext>
            </c:extLst>
          </c:dPt>
          <c:dPt>
            <c:idx val="10"/>
            <c:bubble3D val="0"/>
            <c:spPr>
              <a:ln w="57150">
                <a:solidFill>
                  <a:schemeClr val="accent4"/>
                </a:solidFill>
                <a:prstDash val="sysDot"/>
              </a:ln>
            </c:spPr>
            <c:extLst>
              <c:ext xmlns:c16="http://schemas.microsoft.com/office/drawing/2014/chart" uri="{C3380CC4-5D6E-409C-BE32-E72D297353CC}">
                <c16:uniqueId val="{00000003-4C60-42E8-9696-1BDCC8901E89}"/>
              </c:ext>
            </c:extLst>
          </c:dPt>
          <c:cat>
            <c:numRef>
              <c:f>'WOS nephrops over 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250kW'!$D$21:$N$21</c:f>
              <c:numCache>
                <c:formatCode>#,##0</c:formatCode>
                <c:ptCount val="11"/>
                <c:pt idx="0">
                  <c:v>2607</c:v>
                </c:pt>
                <c:pt idx="1">
                  <c:v>2634</c:v>
                </c:pt>
                <c:pt idx="2">
                  <c:v>2563</c:v>
                </c:pt>
                <c:pt idx="3">
                  <c:v>2754</c:v>
                </c:pt>
                <c:pt idx="4">
                  <c:v>2510</c:v>
                </c:pt>
                <c:pt idx="5">
                  <c:v>2596</c:v>
                </c:pt>
                <c:pt idx="6">
                  <c:v>3312</c:v>
                </c:pt>
                <c:pt idx="7">
                  <c:v>3022</c:v>
                </c:pt>
                <c:pt idx="8">
                  <c:v>2078</c:v>
                </c:pt>
                <c:pt idx="9">
                  <c:v>2267</c:v>
                </c:pt>
                <c:pt idx="10">
                  <c:v>3074</c:v>
                </c:pt>
              </c:numCache>
            </c:numRef>
          </c:val>
          <c:smooth val="0"/>
          <c:extLst>
            <c:ext xmlns:c16="http://schemas.microsoft.com/office/drawing/2014/chart" uri="{C3380CC4-5D6E-409C-BE32-E72D297353CC}">
              <c16:uniqueId val="{00000004-4C60-42E8-9696-1BDCC8901E89}"/>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250kW'!$K$63</c:f>
          <c:strCache>
            <c:ptCount val="1"/>
            <c:pt idx="0">
              <c:v>Average annual operating profit per vessel (£'000)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485-4A5A-B122-B854C3CD89FA}"/>
              </c:ext>
            </c:extLst>
          </c:dPt>
          <c:dPt>
            <c:idx val="10"/>
            <c:bubble3D val="0"/>
            <c:spPr>
              <a:ln w="57150">
                <a:solidFill>
                  <a:schemeClr val="accent5"/>
                </a:solidFill>
                <a:prstDash val="sysDot"/>
              </a:ln>
            </c:spPr>
            <c:extLst>
              <c:ext xmlns:c16="http://schemas.microsoft.com/office/drawing/2014/chart" uri="{C3380CC4-5D6E-409C-BE32-E72D297353CC}">
                <c16:uniqueId val="{00000003-2485-4A5A-B122-B854C3CD89FA}"/>
              </c:ext>
            </c:extLst>
          </c:dPt>
          <c:cat>
            <c:numRef>
              <c:f>'WOS nephrops over 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250kW'!$D$38:$N$38</c:f>
              <c:numCache>
                <c:formatCode>#,##0.0</c:formatCode>
                <c:ptCount val="11"/>
                <c:pt idx="0">
                  <c:v>105.2</c:v>
                </c:pt>
                <c:pt idx="1">
                  <c:v>52</c:v>
                </c:pt>
                <c:pt idx="2">
                  <c:v>87.3</c:v>
                </c:pt>
                <c:pt idx="3">
                  <c:v>59</c:v>
                </c:pt>
                <c:pt idx="4">
                  <c:v>74.599999999999994</c:v>
                </c:pt>
                <c:pt idx="5">
                  <c:v>54</c:v>
                </c:pt>
                <c:pt idx="6">
                  <c:v>21.6</c:v>
                </c:pt>
                <c:pt idx="7">
                  <c:v>65.400000000000006</c:v>
                </c:pt>
                <c:pt idx="8">
                  <c:v>21</c:v>
                </c:pt>
                <c:pt idx="9">
                  <c:v>19.399999999999999</c:v>
                </c:pt>
                <c:pt idx="10">
                  <c:v>5</c:v>
                </c:pt>
              </c:numCache>
            </c:numRef>
          </c:val>
          <c:smooth val="0"/>
          <c:extLst>
            <c:ext xmlns:c16="http://schemas.microsoft.com/office/drawing/2014/chart" uri="{C3380CC4-5D6E-409C-BE32-E72D297353CC}">
              <c16:uniqueId val="{00000004-2485-4A5A-B122-B854C3CD89FA}"/>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250kW'!$A$77</c:f>
          <c:strCache>
            <c:ptCount val="1"/>
            <c:pt idx="0">
              <c:v>Top 5 landed species by volume in 2021
WOS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FF91-44EC-84B6-9BAE90CEAB08}"/>
              </c:ext>
            </c:extLst>
          </c:dPt>
          <c:dPt>
            <c:idx val="1"/>
            <c:bubble3D val="0"/>
            <c:spPr>
              <a:solidFill>
                <a:srgbClr val="C1D119"/>
              </a:solidFill>
              <a:ln>
                <a:solidFill>
                  <a:srgbClr val="FFFFFF"/>
                </a:solidFill>
              </a:ln>
            </c:spPr>
            <c:extLst>
              <c:ext xmlns:c16="http://schemas.microsoft.com/office/drawing/2014/chart" uri="{C3380CC4-5D6E-409C-BE32-E72D297353CC}">
                <c16:uniqueId val="{00000003-FF91-44EC-84B6-9BAE90CEAB08}"/>
              </c:ext>
            </c:extLst>
          </c:dPt>
          <c:dPt>
            <c:idx val="2"/>
            <c:bubble3D val="0"/>
            <c:spPr>
              <a:solidFill>
                <a:srgbClr val="E87308"/>
              </a:solidFill>
              <a:ln>
                <a:solidFill>
                  <a:srgbClr val="FFFFFF"/>
                </a:solidFill>
              </a:ln>
            </c:spPr>
            <c:extLst>
              <c:ext xmlns:c16="http://schemas.microsoft.com/office/drawing/2014/chart" uri="{C3380CC4-5D6E-409C-BE32-E72D297353CC}">
                <c16:uniqueId val="{00000005-FF91-44EC-84B6-9BAE90CEAB08}"/>
              </c:ext>
            </c:extLst>
          </c:dPt>
          <c:dPt>
            <c:idx val="3"/>
            <c:bubble3D val="0"/>
            <c:spPr>
              <a:solidFill>
                <a:srgbClr val="E84A38"/>
              </a:solidFill>
              <a:ln>
                <a:solidFill>
                  <a:srgbClr val="FFFFFF"/>
                </a:solidFill>
              </a:ln>
            </c:spPr>
            <c:extLst>
              <c:ext xmlns:c16="http://schemas.microsoft.com/office/drawing/2014/chart" uri="{C3380CC4-5D6E-409C-BE32-E72D297353CC}">
                <c16:uniqueId val="{00000007-FF91-44EC-84B6-9BAE90CEAB08}"/>
              </c:ext>
            </c:extLst>
          </c:dPt>
          <c:dPt>
            <c:idx val="4"/>
            <c:bubble3D val="0"/>
            <c:spPr>
              <a:solidFill>
                <a:srgbClr val="648C2E"/>
              </a:solidFill>
              <a:ln>
                <a:solidFill>
                  <a:srgbClr val="FFFFFF"/>
                </a:solidFill>
              </a:ln>
            </c:spPr>
            <c:extLst>
              <c:ext xmlns:c16="http://schemas.microsoft.com/office/drawing/2014/chart" uri="{C3380CC4-5D6E-409C-BE32-E72D297353CC}">
                <c16:uniqueId val="{00000009-FF91-44EC-84B6-9BAE90CEAB08}"/>
              </c:ext>
            </c:extLst>
          </c:dPt>
          <c:dPt>
            <c:idx val="5"/>
            <c:bubble3D val="0"/>
            <c:spPr>
              <a:solidFill>
                <a:srgbClr val="55585A"/>
              </a:solidFill>
              <a:ln>
                <a:solidFill>
                  <a:srgbClr val="FFFFFF"/>
                </a:solidFill>
              </a:ln>
            </c:spPr>
            <c:extLst>
              <c:ext xmlns:c16="http://schemas.microsoft.com/office/drawing/2014/chart" uri="{C3380CC4-5D6E-409C-BE32-E72D297353CC}">
                <c16:uniqueId val="{0000000B-FF91-44EC-84B6-9BAE90CEAB08}"/>
              </c:ext>
            </c:extLst>
          </c:dPt>
          <c:cat>
            <c:strRef>
              <c:f>'WOS nephrops over 250kW'!$B$78:$B$83</c:f>
              <c:strCache>
                <c:ptCount val="6"/>
                <c:pt idx="0">
                  <c:v>Nephrops - 90.9%</c:v>
                </c:pt>
                <c:pt idx="1">
                  <c:v>Sprats - 4.6%</c:v>
                </c:pt>
                <c:pt idx="2">
                  <c:v>Anglerfish - 1.3%</c:v>
                </c:pt>
                <c:pt idx="3">
                  <c:v>Haddock - 1.0%</c:v>
                </c:pt>
                <c:pt idx="4">
                  <c:v>Squid - 0.8%</c:v>
                </c:pt>
                <c:pt idx="5">
                  <c:v>Others - 1.4%</c:v>
                </c:pt>
              </c:strCache>
            </c:strRef>
          </c:cat>
          <c:val>
            <c:numRef>
              <c:f>'WOS nephrops over 250kW'!$C$78:$C$83</c:f>
              <c:numCache>
                <c:formatCode>0.0%</c:formatCode>
                <c:ptCount val="6"/>
                <c:pt idx="0">
                  <c:v>0.90918816016374537</c:v>
                </c:pt>
                <c:pt idx="1">
                  <c:v>4.6088905727083726E-2</c:v>
                </c:pt>
                <c:pt idx="2">
                  <c:v>1.3124382338245266E-2</c:v>
                </c:pt>
                <c:pt idx="3">
                  <c:v>9.6622074644698765E-3</c:v>
                </c:pt>
                <c:pt idx="4">
                  <c:v>8.1812251184804254E-3</c:v>
                </c:pt>
                <c:pt idx="5">
                  <c:v>1.375511918797534E-2</c:v>
                </c:pt>
              </c:numCache>
            </c:numRef>
          </c:val>
          <c:extLst>
            <c:ext xmlns:c16="http://schemas.microsoft.com/office/drawing/2014/chart" uri="{C3380CC4-5D6E-409C-BE32-E72D297353CC}">
              <c16:uniqueId val="{0000000C-FF91-44EC-84B6-9BAE90CEAB0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250kW'!$F$77</c:f>
          <c:strCache>
            <c:ptCount val="1"/>
            <c:pt idx="0">
              <c:v>Top 5 landed species by value in 2021
WOS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A31-4D3B-A6FA-BE8C14B04011}"/>
              </c:ext>
            </c:extLst>
          </c:dPt>
          <c:dPt>
            <c:idx val="1"/>
            <c:bubble3D val="0"/>
            <c:spPr>
              <a:solidFill>
                <a:srgbClr val="E87308"/>
              </a:solidFill>
              <a:ln>
                <a:solidFill>
                  <a:srgbClr val="FFFFFF"/>
                </a:solidFill>
              </a:ln>
            </c:spPr>
            <c:extLst>
              <c:ext xmlns:c16="http://schemas.microsoft.com/office/drawing/2014/chart" uri="{C3380CC4-5D6E-409C-BE32-E72D297353CC}">
                <c16:uniqueId val="{00000003-EA31-4D3B-A6FA-BE8C14B04011}"/>
              </c:ext>
            </c:extLst>
          </c:dPt>
          <c:dPt>
            <c:idx val="2"/>
            <c:bubble3D val="0"/>
            <c:spPr>
              <a:solidFill>
                <a:srgbClr val="648C2E"/>
              </a:solidFill>
              <a:ln>
                <a:solidFill>
                  <a:srgbClr val="FFFFFF"/>
                </a:solidFill>
              </a:ln>
            </c:spPr>
            <c:extLst>
              <c:ext xmlns:c16="http://schemas.microsoft.com/office/drawing/2014/chart" uri="{C3380CC4-5D6E-409C-BE32-E72D297353CC}">
                <c16:uniqueId val="{00000005-EA31-4D3B-A6FA-BE8C14B04011}"/>
              </c:ext>
            </c:extLst>
          </c:dPt>
          <c:dPt>
            <c:idx val="3"/>
            <c:bubble3D val="0"/>
            <c:spPr>
              <a:solidFill>
                <a:srgbClr val="C1D119"/>
              </a:solidFill>
              <a:ln>
                <a:solidFill>
                  <a:srgbClr val="FFFFFF"/>
                </a:solidFill>
              </a:ln>
            </c:spPr>
            <c:extLst>
              <c:ext xmlns:c16="http://schemas.microsoft.com/office/drawing/2014/chart" uri="{C3380CC4-5D6E-409C-BE32-E72D297353CC}">
                <c16:uniqueId val="{00000007-EA31-4D3B-A6FA-BE8C14B04011}"/>
              </c:ext>
            </c:extLst>
          </c:dPt>
          <c:dPt>
            <c:idx val="4"/>
            <c:bubble3D val="0"/>
            <c:spPr>
              <a:solidFill>
                <a:srgbClr val="E84A38"/>
              </a:solidFill>
              <a:ln>
                <a:solidFill>
                  <a:srgbClr val="FFFFFF"/>
                </a:solidFill>
              </a:ln>
            </c:spPr>
            <c:extLst>
              <c:ext xmlns:c16="http://schemas.microsoft.com/office/drawing/2014/chart" uri="{C3380CC4-5D6E-409C-BE32-E72D297353CC}">
                <c16:uniqueId val="{00000009-EA31-4D3B-A6FA-BE8C14B04011}"/>
              </c:ext>
            </c:extLst>
          </c:dPt>
          <c:dPt>
            <c:idx val="5"/>
            <c:bubble3D val="0"/>
            <c:spPr>
              <a:solidFill>
                <a:srgbClr val="55585A"/>
              </a:solidFill>
              <a:ln>
                <a:solidFill>
                  <a:srgbClr val="FFFFFF"/>
                </a:solidFill>
              </a:ln>
            </c:spPr>
            <c:extLst>
              <c:ext xmlns:c16="http://schemas.microsoft.com/office/drawing/2014/chart" uri="{C3380CC4-5D6E-409C-BE32-E72D297353CC}">
                <c16:uniqueId val="{0000000B-EA31-4D3B-A6FA-BE8C14B04011}"/>
              </c:ext>
            </c:extLst>
          </c:dPt>
          <c:cat>
            <c:strRef>
              <c:f>'WOS nephrops over 250kW'!$G$78:$G$83</c:f>
              <c:strCache>
                <c:ptCount val="6"/>
                <c:pt idx="0">
                  <c:v>Nephrops - 95.3%</c:v>
                </c:pt>
                <c:pt idx="1">
                  <c:v>Anglerfish - 1.3%</c:v>
                </c:pt>
                <c:pt idx="2">
                  <c:v>Squid - 1.2%</c:v>
                </c:pt>
                <c:pt idx="3">
                  <c:v>Sprats - 0.7%</c:v>
                </c:pt>
                <c:pt idx="4">
                  <c:v>Haddock - 0.5%</c:v>
                </c:pt>
                <c:pt idx="5">
                  <c:v>Others - 0.9%</c:v>
                </c:pt>
              </c:strCache>
            </c:strRef>
          </c:cat>
          <c:val>
            <c:numRef>
              <c:f>'WOS nephrops over 250kW'!$H$78:$H$83</c:f>
              <c:numCache>
                <c:formatCode>0.0%</c:formatCode>
                <c:ptCount val="6"/>
                <c:pt idx="0">
                  <c:v>0.95329144793613485</c:v>
                </c:pt>
                <c:pt idx="1">
                  <c:v>1.316599301119104E-2</c:v>
                </c:pt>
                <c:pt idx="2">
                  <c:v>1.2451153684539777E-2</c:v>
                </c:pt>
                <c:pt idx="3">
                  <c:v>6.8354724343532569E-3</c:v>
                </c:pt>
                <c:pt idx="4">
                  <c:v>5.2522609743123764E-3</c:v>
                </c:pt>
                <c:pt idx="5">
                  <c:v>9.0036719594687176E-3</c:v>
                </c:pt>
              </c:numCache>
            </c:numRef>
          </c:val>
          <c:extLst>
            <c:ext xmlns:c16="http://schemas.microsoft.com/office/drawing/2014/chart" uri="{C3380CC4-5D6E-409C-BE32-E72D297353CC}">
              <c16:uniqueId val="{0000000C-EA31-4D3B-A6FA-BE8C14B0401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over 250kW'!$C$93</c:f>
              <c:strCache>
                <c:ptCount val="1"/>
                <c:pt idx="0">
                  <c:v>Nephrops</c:v>
                </c:pt>
              </c:strCache>
            </c:strRef>
          </c:tx>
          <c:spPr>
            <a:solidFill>
              <a:srgbClr val="2273B9"/>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250kW'!$D$93:$M$93</c:f>
              <c:numCache>
                <c:formatCode>0%</c:formatCode>
                <c:ptCount val="10"/>
                <c:pt idx="0">
                  <c:v>0.93126832345099486</c:v>
                </c:pt>
                <c:pt idx="1">
                  <c:v>0.91807383408086729</c:v>
                </c:pt>
                <c:pt idx="2">
                  <c:v>0.9174952671797485</c:v>
                </c:pt>
                <c:pt idx="3">
                  <c:v>0.90392311204561115</c:v>
                </c:pt>
                <c:pt idx="4">
                  <c:v>0.88547830126829286</c:v>
                </c:pt>
                <c:pt idx="5">
                  <c:v>0.91508897991877314</c:v>
                </c:pt>
                <c:pt idx="6">
                  <c:v>0.788018738677288</c:v>
                </c:pt>
                <c:pt idx="7">
                  <c:v>0.92326249403603688</c:v>
                </c:pt>
                <c:pt idx="8">
                  <c:v>0.95329144793613485</c:v>
                </c:pt>
                <c:pt idx="9">
                  <c:v>0.96706594010418545</c:v>
                </c:pt>
              </c:numCache>
            </c:numRef>
          </c:val>
          <c:extLst>
            <c:ext xmlns:c16="http://schemas.microsoft.com/office/drawing/2014/chart" uri="{C3380CC4-5D6E-409C-BE32-E72D297353CC}">
              <c16:uniqueId val="{00000000-B423-47D5-B861-4703B5DF3CDA}"/>
            </c:ext>
          </c:extLst>
        </c:ser>
        <c:ser>
          <c:idx val="1"/>
          <c:order val="1"/>
          <c:tx>
            <c:strRef>
              <c:f>'WOS nephrops over 250kW'!$C$94</c:f>
              <c:strCache>
                <c:ptCount val="1"/>
                <c:pt idx="0">
                  <c:v>Anglerfish</c:v>
                </c:pt>
              </c:strCache>
            </c:strRef>
          </c:tx>
          <c:spPr>
            <a:solidFill>
              <a:srgbClr val="E87308"/>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250kW'!$D$94:$M$94</c:f>
              <c:numCache>
                <c:formatCode>0%</c:formatCode>
                <c:ptCount val="10"/>
                <c:pt idx="0">
                  <c:v>1.5107256187754357E-2</c:v>
                </c:pt>
                <c:pt idx="1">
                  <c:v>1.5684346272758675E-2</c:v>
                </c:pt>
                <c:pt idx="2">
                  <c:v>3.0322621399217063E-2</c:v>
                </c:pt>
                <c:pt idx="3">
                  <c:v>2.9031922707148567E-2</c:v>
                </c:pt>
                <c:pt idx="4">
                  <c:v>2.8306235373580339E-2</c:v>
                </c:pt>
                <c:pt idx="5">
                  <c:v>3.1632530033876331E-2</c:v>
                </c:pt>
                <c:pt idx="6">
                  <c:v>4.3742362284765843E-2</c:v>
                </c:pt>
                <c:pt idx="7">
                  <c:v>1.6783718940734011E-2</c:v>
                </c:pt>
                <c:pt idx="8">
                  <c:v>1.316599301119104E-2</c:v>
                </c:pt>
                <c:pt idx="9">
                  <c:v>1.0022285762196756E-2</c:v>
                </c:pt>
              </c:numCache>
            </c:numRef>
          </c:val>
          <c:extLst>
            <c:ext xmlns:c16="http://schemas.microsoft.com/office/drawing/2014/chart" uri="{C3380CC4-5D6E-409C-BE32-E72D297353CC}">
              <c16:uniqueId val="{00000001-B423-47D5-B861-4703B5DF3CDA}"/>
            </c:ext>
          </c:extLst>
        </c:ser>
        <c:ser>
          <c:idx val="2"/>
          <c:order val="2"/>
          <c:tx>
            <c:strRef>
              <c:f>'WOS nephrops over 250kW'!$C$95</c:f>
              <c:strCache>
                <c:ptCount val="1"/>
                <c:pt idx="0">
                  <c:v>Squid</c:v>
                </c:pt>
              </c:strCache>
            </c:strRef>
          </c:tx>
          <c:spPr>
            <a:solidFill>
              <a:srgbClr val="648C2E"/>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250kW'!$D$95:$M$95</c:f>
              <c:numCache>
                <c:formatCode>0%</c:formatCode>
                <c:ptCount val="10"/>
                <c:pt idx="1">
                  <c:v>8.671942962357633E-3</c:v>
                </c:pt>
                <c:pt idx="4">
                  <c:v>1.4701678256071236E-2</c:v>
                </c:pt>
                <c:pt idx="5">
                  <c:v>1.5907261911607871E-2</c:v>
                </c:pt>
                <c:pt idx="6">
                  <c:v>8.5133319245226977E-2</c:v>
                </c:pt>
                <c:pt idx="7">
                  <c:v>2.0377603200775935E-2</c:v>
                </c:pt>
                <c:pt idx="8">
                  <c:v>1.2451153684539777E-2</c:v>
                </c:pt>
                <c:pt idx="9">
                  <c:v>6.2489100800446461E-3</c:v>
                </c:pt>
              </c:numCache>
            </c:numRef>
          </c:val>
          <c:extLst>
            <c:ext xmlns:c16="http://schemas.microsoft.com/office/drawing/2014/chart" uri="{C3380CC4-5D6E-409C-BE32-E72D297353CC}">
              <c16:uniqueId val="{00000002-B423-47D5-B861-4703B5DF3CDA}"/>
            </c:ext>
          </c:extLst>
        </c:ser>
        <c:ser>
          <c:idx val="3"/>
          <c:order val="3"/>
          <c:tx>
            <c:strRef>
              <c:f>'WOS nephrops over 250kW'!$C$96</c:f>
              <c:strCache>
                <c:ptCount val="1"/>
                <c:pt idx="0">
                  <c:v>Sprats</c:v>
                </c:pt>
              </c:strCache>
            </c:strRef>
          </c:tx>
          <c:spPr>
            <a:solidFill>
              <a:srgbClr val="C1D119"/>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250kW'!$D$96:$M$96</c:f>
              <c:numCache>
                <c:formatCode>0%</c:formatCode>
                <c:ptCount val="10"/>
                <c:pt idx="0">
                  <c:v>1.8609151696166691E-2</c:v>
                </c:pt>
                <c:pt idx="1">
                  <c:v>2.6568068637269692E-2</c:v>
                </c:pt>
                <c:pt idx="2">
                  <c:v>1.9552337169447306E-2</c:v>
                </c:pt>
                <c:pt idx="3">
                  <c:v>2.7197486988509961E-2</c:v>
                </c:pt>
                <c:pt idx="4">
                  <c:v>2.0619458269673603E-2</c:v>
                </c:pt>
                <c:pt idx="6">
                  <c:v>1.4570117871962978E-2</c:v>
                </c:pt>
                <c:pt idx="7">
                  <c:v>1.9308867870896605E-2</c:v>
                </c:pt>
                <c:pt idx="8">
                  <c:v>6.8354724343532569E-3</c:v>
                </c:pt>
              </c:numCache>
            </c:numRef>
          </c:val>
          <c:extLst>
            <c:ext xmlns:c16="http://schemas.microsoft.com/office/drawing/2014/chart" uri="{C3380CC4-5D6E-409C-BE32-E72D297353CC}">
              <c16:uniqueId val="{00000003-B423-47D5-B861-4703B5DF3CDA}"/>
            </c:ext>
          </c:extLst>
        </c:ser>
        <c:ser>
          <c:idx val="4"/>
          <c:order val="4"/>
          <c:tx>
            <c:strRef>
              <c:f>'WOS nephrops over 250kW'!$C$97</c:f>
              <c:strCache>
                <c:ptCount val="1"/>
                <c:pt idx="0">
                  <c:v>Haddock</c:v>
                </c:pt>
              </c:strCache>
            </c:strRef>
          </c:tx>
          <c:spPr>
            <a:solidFill>
              <a:srgbClr val="E84A38"/>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250kW'!$D$97:$M$97</c:f>
              <c:numCache>
                <c:formatCode>0%</c:formatCode>
                <c:ptCount val="10"/>
                <c:pt idx="0">
                  <c:v>1.1591821444137743E-2</c:v>
                </c:pt>
                <c:pt idx="1">
                  <c:v>9.7292073950730786E-3</c:v>
                </c:pt>
                <c:pt idx="2">
                  <c:v>9.0728109939999333E-3</c:v>
                </c:pt>
                <c:pt idx="3">
                  <c:v>1.219731683637987E-2</c:v>
                </c:pt>
                <c:pt idx="4">
                  <c:v>1.6629568993450031E-2</c:v>
                </c:pt>
                <c:pt idx="5">
                  <c:v>1.289433313588809E-2</c:v>
                </c:pt>
                <c:pt idx="7">
                  <c:v>6.5004185286972813E-3</c:v>
                </c:pt>
                <c:pt idx="8">
                  <c:v>5.2522609743123764E-3</c:v>
                </c:pt>
                <c:pt idx="9">
                  <c:v>3.8072980152902849E-3</c:v>
                </c:pt>
              </c:numCache>
            </c:numRef>
          </c:val>
          <c:extLst>
            <c:ext xmlns:c16="http://schemas.microsoft.com/office/drawing/2014/chart" uri="{C3380CC4-5D6E-409C-BE32-E72D297353CC}">
              <c16:uniqueId val="{00000004-B423-47D5-B861-4703B5DF3CDA}"/>
            </c:ext>
          </c:extLst>
        </c:ser>
        <c:ser>
          <c:idx val="5"/>
          <c:order val="5"/>
          <c:tx>
            <c:strRef>
              <c:f>'WOS nephrops over 250kW'!$C$98</c:f>
              <c:strCache>
                <c:ptCount val="1"/>
                <c:pt idx="0">
                  <c:v>Squid</c:v>
                </c:pt>
              </c:strCache>
            </c:strRef>
          </c:tx>
          <c:spPr>
            <a:solidFill>
              <a:srgbClr val="0F9AA9"/>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250kW'!$D$98:$M$98</c:f>
              <c:numCache>
                <c:formatCode>0%</c:formatCode>
                <c:ptCount val="10"/>
                <c:pt idx="9">
                  <c:v>4.7726578658996727E-3</c:v>
                </c:pt>
              </c:numCache>
            </c:numRef>
          </c:val>
          <c:extLst>
            <c:ext xmlns:c16="http://schemas.microsoft.com/office/drawing/2014/chart" uri="{C3380CC4-5D6E-409C-BE32-E72D297353CC}">
              <c16:uniqueId val="{00000005-B423-47D5-B861-4703B5DF3CDA}"/>
            </c:ext>
          </c:extLst>
        </c:ser>
        <c:ser>
          <c:idx val="6"/>
          <c:order val="6"/>
          <c:tx>
            <c:strRef>
              <c:f>'WOS nephrops over 250kW'!$C$99</c:f>
              <c:strCache>
                <c:ptCount val="1"/>
                <c:pt idx="0">
                  <c:v>Cod</c:v>
                </c:pt>
              </c:strCache>
            </c:strRef>
          </c:tx>
          <c:spPr>
            <a:solidFill>
              <a:srgbClr val="FED825"/>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250kW'!$D$99:$M$99</c:f>
              <c:numCache>
                <c:formatCode>0%</c:formatCode>
                <c:ptCount val="10"/>
                <c:pt idx="3">
                  <c:v>3.5717197866444016E-3</c:v>
                </c:pt>
                <c:pt idx="6">
                  <c:v>1.2047255179036409E-2</c:v>
                </c:pt>
              </c:numCache>
            </c:numRef>
          </c:val>
          <c:extLst>
            <c:ext xmlns:c16="http://schemas.microsoft.com/office/drawing/2014/chart" uri="{C3380CC4-5D6E-409C-BE32-E72D297353CC}">
              <c16:uniqueId val="{00000006-B423-47D5-B861-4703B5DF3CDA}"/>
            </c:ext>
          </c:extLst>
        </c:ser>
        <c:ser>
          <c:idx val="7"/>
          <c:order val="7"/>
          <c:tx>
            <c:strRef>
              <c:f>'WOS nephrops over 250kW'!$C$100</c:f>
              <c:strCache>
                <c:ptCount val="1"/>
                <c:pt idx="0">
                  <c:v>Scallops</c:v>
                </c:pt>
              </c:strCache>
            </c:strRef>
          </c:tx>
          <c:spPr>
            <a:solidFill>
              <a:srgbClr val="707271"/>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250kW'!$D$100:$M$100</c:f>
              <c:numCache>
                <c:formatCode>0%</c:formatCode>
                <c:ptCount val="10"/>
                <c:pt idx="2">
                  <c:v>3.7888634672335413E-3</c:v>
                </c:pt>
                <c:pt idx="5">
                  <c:v>5.1791535014406075E-3</c:v>
                </c:pt>
              </c:numCache>
            </c:numRef>
          </c:val>
          <c:extLst>
            <c:ext xmlns:c16="http://schemas.microsoft.com/office/drawing/2014/chart" uri="{C3380CC4-5D6E-409C-BE32-E72D297353CC}">
              <c16:uniqueId val="{00000007-B423-47D5-B861-4703B5DF3CDA}"/>
            </c:ext>
          </c:extLst>
        </c:ser>
        <c:ser>
          <c:idx val="8"/>
          <c:order val="8"/>
          <c:tx>
            <c:strRef>
              <c:f>'WOS nephrops over 250kW'!$C$101</c:f>
              <c:strCache>
                <c:ptCount val="1"/>
                <c:pt idx="0">
                  <c:v>Whiting</c:v>
                </c:pt>
              </c:strCache>
            </c:strRef>
          </c:tx>
          <c:spPr>
            <a:solidFill>
              <a:srgbClr val="51AA81"/>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250kW'!$D$101:$M$101</c:f>
              <c:numCache>
                <c:formatCode>0%</c:formatCode>
                <c:ptCount val="10"/>
                <c:pt idx="0">
                  <c:v>2.9408840139693838E-3</c:v>
                </c:pt>
              </c:numCache>
            </c:numRef>
          </c:val>
          <c:extLst>
            <c:ext xmlns:c16="http://schemas.microsoft.com/office/drawing/2014/chart" uri="{C3380CC4-5D6E-409C-BE32-E72D297353CC}">
              <c16:uniqueId val="{00000008-B423-47D5-B861-4703B5DF3CDA}"/>
            </c:ext>
          </c:extLst>
        </c:ser>
        <c:ser>
          <c:idx val="9"/>
          <c:order val="9"/>
          <c:tx>
            <c:strRef>
              <c:f>'WOS nephrops over 250kW'!$C$102</c:f>
              <c:strCache>
                <c:ptCount val="1"/>
                <c:pt idx="0">
                  <c:v>Others</c:v>
                </c:pt>
              </c:strCache>
            </c:strRef>
          </c:tx>
          <c:spPr>
            <a:solidFill>
              <a:srgbClr val="55585A"/>
            </a:solidFill>
            <a:ln>
              <a:solidFill>
                <a:srgbClr val="FFFFFF"/>
              </a:solidFill>
            </a:ln>
          </c:spPr>
          <c:invertIfNegative val="0"/>
          <c:cat>
            <c:numRef>
              <c:f>'WOS nephrops over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over 250kW'!$D$102:$M$102</c:f>
              <c:numCache>
                <c:formatCode>0%</c:formatCode>
                <c:ptCount val="10"/>
                <c:pt idx="0">
                  <c:v>2.0482563206976979E-2</c:v>
                </c:pt>
                <c:pt idx="1">
                  <c:v>2.1272600651673659E-2</c:v>
                </c:pt>
                <c:pt idx="2">
                  <c:v>1.9768099790353707E-2</c:v>
                </c:pt>
                <c:pt idx="3">
                  <c:v>2.4078441635706025E-2</c:v>
                </c:pt>
                <c:pt idx="4">
                  <c:v>3.4264757838931965E-2</c:v>
                </c:pt>
                <c:pt idx="5">
                  <c:v>1.9297741498413921E-2</c:v>
                </c:pt>
                <c:pt idx="6">
                  <c:v>5.6488206741719831E-2</c:v>
                </c:pt>
                <c:pt idx="7">
                  <c:v>1.3766897422859227E-2</c:v>
                </c:pt>
                <c:pt idx="8">
                  <c:v>9.003671959468643E-3</c:v>
                </c:pt>
                <c:pt idx="9">
                  <c:v>8.0829081723832272E-3</c:v>
                </c:pt>
              </c:numCache>
            </c:numRef>
          </c:val>
          <c:extLst>
            <c:ext xmlns:c16="http://schemas.microsoft.com/office/drawing/2014/chart" uri="{C3380CC4-5D6E-409C-BE32-E72D297353CC}">
              <c16:uniqueId val="{00000009-B423-47D5-B861-4703B5DF3CD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over 250kW'!$B$163</c:f>
              <c:strCache>
                <c:ptCount val="1"/>
                <c:pt idx="0">
                  <c:v>Nephrops</c:v>
                </c:pt>
              </c:strCache>
            </c:strRef>
          </c:tx>
          <c:spPr>
            <a:solidFill>
              <a:srgbClr val="2273B9"/>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250kW'!$C$163:$E$163</c:f>
              <c:numCache>
                <c:formatCode>0%</c:formatCode>
                <c:ptCount val="3"/>
                <c:pt idx="0">
                  <c:v>0.82027568857787647</c:v>
                </c:pt>
                <c:pt idx="1">
                  <c:v>0.96962585040283422</c:v>
                </c:pt>
                <c:pt idx="2">
                  <c:v>0.92994971077225641</c:v>
                </c:pt>
              </c:numCache>
            </c:numRef>
          </c:val>
          <c:extLst>
            <c:ext xmlns:c16="http://schemas.microsoft.com/office/drawing/2014/chart" uri="{C3380CC4-5D6E-409C-BE32-E72D297353CC}">
              <c16:uniqueId val="{00000000-A30B-4E59-AC2E-3B4C5D030B10}"/>
            </c:ext>
          </c:extLst>
        </c:ser>
        <c:ser>
          <c:idx val="1"/>
          <c:order val="1"/>
          <c:tx>
            <c:strRef>
              <c:f>'WOS nephrops over 250kW'!$B$164</c:f>
              <c:strCache>
                <c:ptCount val="1"/>
                <c:pt idx="0">
                  <c:v>Anglerfish</c:v>
                </c:pt>
              </c:strCache>
            </c:strRef>
          </c:tx>
          <c:spPr>
            <a:solidFill>
              <a:srgbClr val="E87308"/>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250kW'!$C$164:$E$164</c:f>
              <c:numCache>
                <c:formatCode>0%</c:formatCode>
                <c:ptCount val="3"/>
                <c:pt idx="0">
                  <c:v>1.0312402875424908E-2</c:v>
                </c:pt>
                <c:pt idx="1">
                  <c:v>1.1654488010764467E-2</c:v>
                </c:pt>
                <c:pt idx="2">
                  <c:v>2.8968237904646477E-2</c:v>
                </c:pt>
              </c:numCache>
            </c:numRef>
          </c:val>
          <c:extLst>
            <c:ext xmlns:c16="http://schemas.microsoft.com/office/drawing/2014/chart" uri="{C3380CC4-5D6E-409C-BE32-E72D297353CC}">
              <c16:uniqueId val="{00000001-A30B-4E59-AC2E-3B4C5D030B10}"/>
            </c:ext>
          </c:extLst>
        </c:ser>
        <c:ser>
          <c:idx val="2"/>
          <c:order val="2"/>
          <c:tx>
            <c:strRef>
              <c:f>'WOS nephrops over 250kW'!$B$165</c:f>
              <c:strCache>
                <c:ptCount val="1"/>
                <c:pt idx="0">
                  <c:v>Thornback Ray</c:v>
                </c:pt>
              </c:strCache>
            </c:strRef>
          </c:tx>
          <c:spPr>
            <a:solidFill>
              <a:srgbClr val="0F9AA9"/>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250kW'!$C$165:$E$165</c:f>
              <c:numCache>
                <c:formatCode>0%</c:formatCode>
                <c:ptCount val="3"/>
                <c:pt idx="0">
                  <c:v>0</c:v>
                </c:pt>
                <c:pt idx="1">
                  <c:v>6.4125926085109248E-3</c:v>
                </c:pt>
                <c:pt idx="2">
                  <c:v>0</c:v>
                </c:pt>
              </c:numCache>
            </c:numRef>
          </c:val>
          <c:extLst>
            <c:ext xmlns:c16="http://schemas.microsoft.com/office/drawing/2014/chart" uri="{C3380CC4-5D6E-409C-BE32-E72D297353CC}">
              <c16:uniqueId val="{00000002-A30B-4E59-AC2E-3B4C5D030B10}"/>
            </c:ext>
          </c:extLst>
        </c:ser>
        <c:ser>
          <c:idx val="3"/>
          <c:order val="3"/>
          <c:tx>
            <c:strRef>
              <c:f>'WOS nephrops over 250kW'!$B$166</c:f>
              <c:strCache>
                <c:ptCount val="1"/>
                <c:pt idx="0">
                  <c:v>Haddock</c:v>
                </c:pt>
              </c:strCache>
            </c:strRef>
          </c:tx>
          <c:spPr>
            <a:solidFill>
              <a:srgbClr val="E84A38"/>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250kW'!$C$166:$E$166</c:f>
              <c:numCache>
                <c:formatCode>0%</c:formatCode>
                <c:ptCount val="3"/>
                <c:pt idx="0">
                  <c:v>1.1880903618286464E-2</c:v>
                </c:pt>
                <c:pt idx="1">
                  <c:v>5.9833759916019975E-3</c:v>
                </c:pt>
                <c:pt idx="2">
                  <c:v>1.907181327403441E-2</c:v>
                </c:pt>
              </c:numCache>
            </c:numRef>
          </c:val>
          <c:extLst>
            <c:ext xmlns:c16="http://schemas.microsoft.com/office/drawing/2014/chart" uri="{C3380CC4-5D6E-409C-BE32-E72D297353CC}">
              <c16:uniqueId val="{00000003-A30B-4E59-AC2E-3B4C5D030B10}"/>
            </c:ext>
          </c:extLst>
        </c:ser>
        <c:ser>
          <c:idx val="4"/>
          <c:order val="4"/>
          <c:tx>
            <c:strRef>
              <c:f>'WOS nephrops over 250kW'!$B$167</c:f>
              <c:strCache>
                <c:ptCount val="1"/>
                <c:pt idx="0">
                  <c:v>Hake</c:v>
                </c:pt>
              </c:strCache>
            </c:strRef>
          </c:tx>
          <c:spPr>
            <a:solidFill>
              <a:srgbClr val="FED825"/>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250kW'!$C$167:$E$167</c:f>
              <c:numCache>
                <c:formatCode>0%</c:formatCode>
                <c:ptCount val="3"/>
                <c:pt idx="0">
                  <c:v>0</c:v>
                </c:pt>
                <c:pt idx="1">
                  <c:v>1.5815088257689612E-3</c:v>
                </c:pt>
                <c:pt idx="2">
                  <c:v>2.8823577007409756E-3</c:v>
                </c:pt>
              </c:numCache>
            </c:numRef>
          </c:val>
          <c:extLst>
            <c:ext xmlns:c16="http://schemas.microsoft.com/office/drawing/2014/chart" uri="{C3380CC4-5D6E-409C-BE32-E72D297353CC}">
              <c16:uniqueId val="{00000004-A30B-4E59-AC2E-3B4C5D030B10}"/>
            </c:ext>
          </c:extLst>
        </c:ser>
        <c:ser>
          <c:idx val="5"/>
          <c:order val="5"/>
          <c:tx>
            <c:strRef>
              <c:f>'WOS nephrops over 250kW'!$B$168</c:f>
              <c:strCache>
                <c:ptCount val="1"/>
                <c:pt idx="0">
                  <c:v>Megrim</c:v>
                </c:pt>
              </c:strCache>
            </c:strRef>
          </c:tx>
          <c:spPr>
            <a:solidFill>
              <a:srgbClr val="707271"/>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250kW'!$C$168:$E$168</c:f>
              <c:numCache>
                <c:formatCode>0%</c:formatCode>
                <c:ptCount val="3"/>
                <c:pt idx="0">
                  <c:v>0</c:v>
                </c:pt>
                <c:pt idx="1">
                  <c:v>0</c:v>
                </c:pt>
                <c:pt idx="2">
                  <c:v>7.3627547791887465E-3</c:v>
                </c:pt>
              </c:numCache>
            </c:numRef>
          </c:val>
          <c:extLst>
            <c:ext xmlns:c16="http://schemas.microsoft.com/office/drawing/2014/chart" uri="{C3380CC4-5D6E-409C-BE32-E72D297353CC}">
              <c16:uniqueId val="{00000005-A30B-4E59-AC2E-3B4C5D030B10}"/>
            </c:ext>
          </c:extLst>
        </c:ser>
        <c:ser>
          <c:idx val="6"/>
          <c:order val="6"/>
          <c:tx>
            <c:strRef>
              <c:f>'WOS nephrops over 250kW'!$B$169</c:f>
              <c:strCache>
                <c:ptCount val="1"/>
                <c:pt idx="0">
                  <c:v>Sprats</c:v>
                </c:pt>
              </c:strCache>
            </c:strRef>
          </c:tx>
          <c:spPr>
            <a:solidFill>
              <a:srgbClr val="C1D119"/>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250kW'!$C$169:$E$169</c:f>
              <c:numCache>
                <c:formatCode>0%</c:formatCode>
                <c:ptCount val="3"/>
                <c:pt idx="0">
                  <c:v>0.12413599203842512</c:v>
                </c:pt>
                <c:pt idx="1">
                  <c:v>0</c:v>
                </c:pt>
                <c:pt idx="2">
                  <c:v>0</c:v>
                </c:pt>
              </c:numCache>
            </c:numRef>
          </c:val>
          <c:extLst>
            <c:ext xmlns:c16="http://schemas.microsoft.com/office/drawing/2014/chart" uri="{C3380CC4-5D6E-409C-BE32-E72D297353CC}">
              <c16:uniqueId val="{00000006-A30B-4E59-AC2E-3B4C5D030B10}"/>
            </c:ext>
          </c:extLst>
        </c:ser>
        <c:ser>
          <c:idx val="7"/>
          <c:order val="7"/>
          <c:tx>
            <c:strRef>
              <c:f>'WOS nephrops over 250kW'!$B$170</c:f>
              <c:strCache>
                <c:ptCount val="1"/>
                <c:pt idx="0">
                  <c:v>Squid</c:v>
                </c:pt>
              </c:strCache>
            </c:strRef>
          </c:tx>
          <c:spPr>
            <a:solidFill>
              <a:srgbClr val="648C2E"/>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250kW'!$C$170:$E$170</c:f>
              <c:numCache>
                <c:formatCode>0%</c:formatCode>
                <c:ptCount val="3"/>
                <c:pt idx="0">
                  <c:v>2.1551769355159772E-2</c:v>
                </c:pt>
                <c:pt idx="1">
                  <c:v>0</c:v>
                </c:pt>
                <c:pt idx="2">
                  <c:v>0</c:v>
                </c:pt>
              </c:numCache>
            </c:numRef>
          </c:val>
          <c:extLst>
            <c:ext xmlns:c16="http://schemas.microsoft.com/office/drawing/2014/chart" uri="{C3380CC4-5D6E-409C-BE32-E72D297353CC}">
              <c16:uniqueId val="{00000007-A30B-4E59-AC2E-3B4C5D030B10}"/>
            </c:ext>
          </c:extLst>
        </c:ser>
        <c:ser>
          <c:idx val="8"/>
          <c:order val="8"/>
          <c:tx>
            <c:strRef>
              <c:f>'WOS nephrops over 250kW'!$B$171</c:f>
              <c:strCache>
                <c:ptCount val="1"/>
                <c:pt idx="0">
                  <c:v>Others</c:v>
                </c:pt>
              </c:strCache>
            </c:strRef>
          </c:tx>
          <c:spPr>
            <a:solidFill>
              <a:srgbClr val="55585A"/>
            </a:solidFill>
            <a:ln>
              <a:solidFill>
                <a:srgbClr val="FFFFFF"/>
              </a:solidFill>
            </a:ln>
          </c:spPr>
          <c:invertIfNegative val="0"/>
          <c:cat>
            <c:strRef>
              <c:f>'WOS nephrops over 250kW'!$C$162:$E$162</c:f>
              <c:strCache>
                <c:ptCount val="3"/>
                <c:pt idx="0">
                  <c:v>Most
profitable
quartile</c:v>
                </c:pt>
                <c:pt idx="1">
                  <c:v>Middle 
two quartiles</c:v>
                </c:pt>
                <c:pt idx="2">
                  <c:v>Least
profitable
quartile</c:v>
                </c:pt>
              </c:strCache>
            </c:strRef>
          </c:cat>
          <c:val>
            <c:numRef>
              <c:f>'WOS nephrops over 250kW'!$C$171:$E$171</c:f>
              <c:numCache>
                <c:formatCode>0%</c:formatCode>
                <c:ptCount val="3"/>
                <c:pt idx="0">
                  <c:v>1.1843243534827241E-2</c:v>
                </c:pt>
                <c:pt idx="1">
                  <c:v>4.7421841605194137E-3</c:v>
                </c:pt>
                <c:pt idx="2">
                  <c:v>1.1765125569133006E-2</c:v>
                </c:pt>
              </c:numCache>
            </c:numRef>
          </c:val>
          <c:extLst>
            <c:ext xmlns:c16="http://schemas.microsoft.com/office/drawing/2014/chart" uri="{C3380CC4-5D6E-409C-BE32-E72D297353CC}">
              <c16:uniqueId val="{00000008-A30B-4E59-AC2E-3B4C5D030B10}"/>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over 250kW'!$H$163</c:f>
              <c:strCache>
                <c:ptCount val="1"/>
                <c:pt idx="0">
                  <c:v>Nephrops</c:v>
                </c:pt>
              </c:strCache>
            </c:strRef>
          </c:tx>
          <c:spPr>
            <a:solidFill>
              <a:srgbClr val="2273B9"/>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250kW'!$I$163:$K$163</c:f>
              <c:numCache>
                <c:formatCode>0%</c:formatCode>
                <c:ptCount val="3"/>
                <c:pt idx="0">
                  <c:v>0.91182395596545951</c:v>
                </c:pt>
                <c:pt idx="1">
                  <c:v>0.98013605120947989</c:v>
                </c:pt>
                <c:pt idx="2">
                  <c:v>0.95491377950180822</c:v>
                </c:pt>
              </c:numCache>
            </c:numRef>
          </c:val>
          <c:extLst>
            <c:ext xmlns:c16="http://schemas.microsoft.com/office/drawing/2014/chart" uri="{C3380CC4-5D6E-409C-BE32-E72D297353CC}">
              <c16:uniqueId val="{00000000-5536-49E6-95C5-14B6C3516415}"/>
            </c:ext>
          </c:extLst>
        </c:ser>
        <c:ser>
          <c:idx val="1"/>
          <c:order val="1"/>
          <c:tx>
            <c:strRef>
              <c:f>'WOS nephrops over 250kW'!$H$164</c:f>
              <c:strCache>
                <c:ptCount val="1"/>
                <c:pt idx="0">
                  <c:v>Anglerfish</c:v>
                </c:pt>
              </c:strCache>
            </c:strRef>
          </c:tx>
          <c:spPr>
            <a:solidFill>
              <a:srgbClr val="E87308"/>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250kW'!$I$164:$K$164</c:f>
              <c:numCache>
                <c:formatCode>0%</c:formatCode>
                <c:ptCount val="3"/>
                <c:pt idx="0">
                  <c:v>1.2975805290624875E-2</c:v>
                </c:pt>
                <c:pt idx="1">
                  <c:v>1.1074404987451594E-2</c:v>
                </c:pt>
                <c:pt idx="2">
                  <c:v>2.3116571665072052E-2</c:v>
                </c:pt>
              </c:numCache>
            </c:numRef>
          </c:val>
          <c:extLst>
            <c:ext xmlns:c16="http://schemas.microsoft.com/office/drawing/2014/chart" uri="{C3380CC4-5D6E-409C-BE32-E72D297353CC}">
              <c16:uniqueId val="{00000001-5536-49E6-95C5-14B6C3516415}"/>
            </c:ext>
          </c:extLst>
        </c:ser>
        <c:ser>
          <c:idx val="2"/>
          <c:order val="2"/>
          <c:tx>
            <c:strRef>
              <c:f>'WOS nephrops over 250kW'!$H$165</c:f>
              <c:strCache>
                <c:ptCount val="1"/>
                <c:pt idx="0">
                  <c:v>Haddock</c:v>
                </c:pt>
              </c:strCache>
            </c:strRef>
          </c:tx>
          <c:spPr>
            <a:solidFill>
              <a:srgbClr val="E84A38"/>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250kW'!$I$165:$K$165</c:f>
              <c:numCache>
                <c:formatCode>0%</c:formatCode>
                <c:ptCount val="3"/>
                <c:pt idx="0">
                  <c:v>8.2496665670613954E-3</c:v>
                </c:pt>
                <c:pt idx="1">
                  <c:v>2.6155888622487631E-3</c:v>
                </c:pt>
                <c:pt idx="2">
                  <c:v>8.5440769610750436E-3</c:v>
                </c:pt>
              </c:numCache>
            </c:numRef>
          </c:val>
          <c:extLst>
            <c:ext xmlns:c16="http://schemas.microsoft.com/office/drawing/2014/chart" uri="{C3380CC4-5D6E-409C-BE32-E72D297353CC}">
              <c16:uniqueId val="{00000002-5536-49E6-95C5-14B6C3516415}"/>
            </c:ext>
          </c:extLst>
        </c:ser>
        <c:ser>
          <c:idx val="3"/>
          <c:order val="3"/>
          <c:tx>
            <c:strRef>
              <c:f>'WOS nephrops over 250kW'!$H$166</c:f>
              <c:strCache>
                <c:ptCount val="1"/>
                <c:pt idx="0">
                  <c:v>Thornback Ray</c:v>
                </c:pt>
              </c:strCache>
            </c:strRef>
          </c:tx>
          <c:spPr>
            <a:solidFill>
              <a:srgbClr val="0F9AA9"/>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250kW'!$I$166:$K$166</c:f>
              <c:numCache>
                <c:formatCode>0%</c:formatCode>
                <c:ptCount val="3"/>
                <c:pt idx="0">
                  <c:v>0</c:v>
                </c:pt>
                <c:pt idx="1">
                  <c:v>2.3864482321417375E-3</c:v>
                </c:pt>
                <c:pt idx="2">
                  <c:v>0</c:v>
                </c:pt>
              </c:numCache>
            </c:numRef>
          </c:val>
          <c:extLst>
            <c:ext xmlns:c16="http://schemas.microsoft.com/office/drawing/2014/chart" uri="{C3380CC4-5D6E-409C-BE32-E72D297353CC}">
              <c16:uniqueId val="{00000003-5536-49E6-95C5-14B6C3516415}"/>
            </c:ext>
          </c:extLst>
        </c:ser>
        <c:ser>
          <c:idx val="4"/>
          <c:order val="4"/>
          <c:tx>
            <c:strRef>
              <c:f>'WOS nephrops over 250kW'!$H$167</c:f>
              <c:strCache>
                <c:ptCount val="1"/>
                <c:pt idx="0">
                  <c:v>Megrim</c:v>
                </c:pt>
              </c:strCache>
            </c:strRef>
          </c:tx>
          <c:spPr>
            <a:solidFill>
              <a:srgbClr val="707271"/>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250kW'!$I$167:$K$167</c:f>
              <c:numCache>
                <c:formatCode>0%</c:formatCode>
                <c:ptCount val="3"/>
                <c:pt idx="0">
                  <c:v>0</c:v>
                </c:pt>
                <c:pt idx="1">
                  <c:v>8.3381847385534001E-4</c:v>
                </c:pt>
                <c:pt idx="2">
                  <c:v>6.5727336628186193E-3</c:v>
                </c:pt>
              </c:numCache>
            </c:numRef>
          </c:val>
          <c:extLst>
            <c:ext xmlns:c16="http://schemas.microsoft.com/office/drawing/2014/chart" uri="{C3380CC4-5D6E-409C-BE32-E72D297353CC}">
              <c16:uniqueId val="{00000004-5536-49E6-95C5-14B6C3516415}"/>
            </c:ext>
          </c:extLst>
        </c:ser>
        <c:ser>
          <c:idx val="5"/>
          <c:order val="5"/>
          <c:tx>
            <c:strRef>
              <c:f>'WOS nephrops over 250kW'!$H$168</c:f>
              <c:strCache>
                <c:ptCount val="1"/>
                <c:pt idx="0">
                  <c:v>Cod</c:v>
                </c:pt>
              </c:strCache>
            </c:strRef>
          </c:tx>
          <c:spPr>
            <a:solidFill>
              <a:srgbClr val="51AA81"/>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250kW'!$I$168:$K$168</c:f>
              <c:numCache>
                <c:formatCode>0%</c:formatCode>
                <c:ptCount val="3"/>
                <c:pt idx="0">
                  <c:v>0</c:v>
                </c:pt>
                <c:pt idx="1">
                  <c:v>0</c:v>
                </c:pt>
                <c:pt idx="2">
                  <c:v>1.3128542444182385E-3</c:v>
                </c:pt>
              </c:numCache>
            </c:numRef>
          </c:val>
          <c:extLst>
            <c:ext xmlns:c16="http://schemas.microsoft.com/office/drawing/2014/chart" uri="{C3380CC4-5D6E-409C-BE32-E72D297353CC}">
              <c16:uniqueId val="{00000005-5536-49E6-95C5-14B6C3516415}"/>
            </c:ext>
          </c:extLst>
        </c:ser>
        <c:ser>
          <c:idx val="6"/>
          <c:order val="6"/>
          <c:tx>
            <c:strRef>
              <c:f>'WOS nephrops over 250kW'!$H$169</c:f>
              <c:strCache>
                <c:ptCount val="1"/>
                <c:pt idx="0">
                  <c:v>Squid</c:v>
                </c:pt>
              </c:strCache>
            </c:strRef>
          </c:tx>
          <c:spPr>
            <a:solidFill>
              <a:srgbClr val="648C2E"/>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250kW'!$I$169:$K$169</c:f>
              <c:numCache>
                <c:formatCode>0%</c:formatCode>
                <c:ptCount val="3"/>
                <c:pt idx="0">
                  <c:v>3.5490351837386636E-2</c:v>
                </c:pt>
                <c:pt idx="1">
                  <c:v>0</c:v>
                </c:pt>
                <c:pt idx="2">
                  <c:v>0</c:v>
                </c:pt>
              </c:numCache>
            </c:numRef>
          </c:val>
          <c:extLst>
            <c:ext xmlns:c16="http://schemas.microsoft.com/office/drawing/2014/chart" uri="{C3380CC4-5D6E-409C-BE32-E72D297353CC}">
              <c16:uniqueId val="{00000006-5536-49E6-95C5-14B6C3516415}"/>
            </c:ext>
          </c:extLst>
        </c:ser>
        <c:ser>
          <c:idx val="7"/>
          <c:order val="7"/>
          <c:tx>
            <c:strRef>
              <c:f>'WOS nephrops over 250kW'!$H$170</c:f>
              <c:strCache>
                <c:ptCount val="1"/>
                <c:pt idx="0">
                  <c:v>Sprats</c:v>
                </c:pt>
              </c:strCache>
            </c:strRef>
          </c:tx>
          <c:spPr>
            <a:solidFill>
              <a:srgbClr val="C1D119"/>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250kW'!$I$170:$K$170</c:f>
              <c:numCache>
                <c:formatCode>0%</c:formatCode>
                <c:ptCount val="3"/>
                <c:pt idx="0">
                  <c:v>2.0000530925589028E-2</c:v>
                </c:pt>
                <c:pt idx="1">
                  <c:v>0</c:v>
                </c:pt>
                <c:pt idx="2">
                  <c:v>0</c:v>
                </c:pt>
              </c:numCache>
            </c:numRef>
          </c:val>
          <c:extLst>
            <c:ext xmlns:c16="http://schemas.microsoft.com/office/drawing/2014/chart" uri="{C3380CC4-5D6E-409C-BE32-E72D297353CC}">
              <c16:uniqueId val="{00000007-5536-49E6-95C5-14B6C3516415}"/>
            </c:ext>
          </c:extLst>
        </c:ser>
        <c:ser>
          <c:idx val="8"/>
          <c:order val="8"/>
          <c:tx>
            <c:strRef>
              <c:f>'WOS nephrops over 250kW'!$H$171</c:f>
              <c:strCache>
                <c:ptCount val="1"/>
                <c:pt idx="0">
                  <c:v>Others</c:v>
                </c:pt>
              </c:strCache>
            </c:strRef>
          </c:tx>
          <c:spPr>
            <a:solidFill>
              <a:srgbClr val="55585A"/>
            </a:solidFill>
            <a:ln>
              <a:solidFill>
                <a:srgbClr val="FFFFFF"/>
              </a:solidFill>
            </a:ln>
          </c:spPr>
          <c:invertIfNegative val="0"/>
          <c:cat>
            <c:strRef>
              <c:f>'WOS nephrops over 250kW'!$I$162:$K$162</c:f>
              <c:strCache>
                <c:ptCount val="3"/>
                <c:pt idx="0">
                  <c:v>Most
profitable
quartile</c:v>
                </c:pt>
                <c:pt idx="1">
                  <c:v>Middle 
two quartiles</c:v>
                </c:pt>
                <c:pt idx="2">
                  <c:v>Least
profitable
quartile</c:v>
                </c:pt>
              </c:strCache>
            </c:strRef>
          </c:cat>
          <c:val>
            <c:numRef>
              <c:f>'WOS nephrops over 250kW'!$I$171:$K$171</c:f>
              <c:numCache>
                <c:formatCode>0%</c:formatCode>
                <c:ptCount val="3"/>
                <c:pt idx="0">
                  <c:v>1.1459689413878538E-2</c:v>
                </c:pt>
                <c:pt idx="1">
                  <c:v>2.9536882348226712E-3</c:v>
                </c:pt>
                <c:pt idx="2">
                  <c:v>5.5399839648077043E-3</c:v>
                </c:pt>
              </c:numCache>
            </c:numRef>
          </c:val>
          <c:extLst>
            <c:ext xmlns:c16="http://schemas.microsoft.com/office/drawing/2014/chart" uri="{C3380CC4-5D6E-409C-BE32-E72D297353CC}">
              <c16:uniqueId val="{00000008-5536-49E6-95C5-14B6C351641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over 250kW'!$K$140</c:f>
              <c:strCache>
                <c:ptCount val="1"/>
                <c:pt idx="0">
                  <c:v>Total income</c:v>
                </c:pt>
              </c:strCache>
            </c:strRef>
          </c:tx>
          <c:spPr>
            <a:solidFill>
              <a:srgbClr val="087CBB"/>
            </a:solidFill>
            <a:ln>
              <a:solidFill>
                <a:schemeClr val="accent1"/>
              </a:solidFill>
            </a:ln>
          </c:spPr>
          <c:invertIfNegative val="0"/>
          <c:cat>
            <c:strRef>
              <c:f>'WOS nephrops over 250kW'!$L$139:$N$139</c:f>
              <c:strCache>
                <c:ptCount val="3"/>
                <c:pt idx="0">
                  <c:v>Most
profitable
quartile</c:v>
                </c:pt>
                <c:pt idx="1">
                  <c:v>Middle
two quartiles</c:v>
                </c:pt>
                <c:pt idx="2">
                  <c:v>Least
profitable
quartile</c:v>
                </c:pt>
              </c:strCache>
            </c:strRef>
          </c:cat>
          <c:val>
            <c:numRef>
              <c:f>'WOS nephrops over 250kW'!$L$140:$N$140</c:f>
              <c:numCache>
                <c:formatCode>#,##0</c:formatCode>
                <c:ptCount val="3"/>
                <c:pt idx="0">
                  <c:v>424.14596875000001</c:v>
                </c:pt>
                <c:pt idx="1">
                  <c:v>302.29497708333298</c:v>
                </c:pt>
                <c:pt idx="2">
                  <c:v>144.66339062500001</c:v>
                </c:pt>
              </c:numCache>
            </c:numRef>
          </c:val>
          <c:extLst>
            <c:ext xmlns:c16="http://schemas.microsoft.com/office/drawing/2014/chart" uri="{C3380CC4-5D6E-409C-BE32-E72D297353CC}">
              <c16:uniqueId val="{00000000-4600-47A6-971F-9A821D477CBF}"/>
            </c:ext>
          </c:extLst>
        </c:ser>
        <c:ser>
          <c:idx val="1"/>
          <c:order val="1"/>
          <c:tx>
            <c:strRef>
              <c:f>'WOS nephrops over 250kW'!$K$141</c:f>
              <c:strCache>
                <c:ptCount val="1"/>
                <c:pt idx="0">
                  <c:v>Operating costs</c:v>
                </c:pt>
              </c:strCache>
            </c:strRef>
          </c:tx>
          <c:spPr>
            <a:solidFill>
              <a:srgbClr val="E87308"/>
            </a:solidFill>
          </c:spPr>
          <c:invertIfNegative val="0"/>
          <c:cat>
            <c:strRef>
              <c:f>'WOS nephrops over 250kW'!$L$139:$N$139</c:f>
              <c:strCache>
                <c:ptCount val="3"/>
                <c:pt idx="0">
                  <c:v>Most
profitable
quartile</c:v>
                </c:pt>
                <c:pt idx="1">
                  <c:v>Middle
two quartiles</c:v>
                </c:pt>
                <c:pt idx="2">
                  <c:v>Least
profitable
quartile</c:v>
                </c:pt>
              </c:strCache>
            </c:strRef>
          </c:cat>
          <c:val>
            <c:numRef>
              <c:f>'WOS nephrops over 250kW'!$L$141:$N$141</c:f>
              <c:numCache>
                <c:formatCode>#,##0</c:formatCode>
                <c:ptCount val="3"/>
                <c:pt idx="0">
                  <c:v>370.85143749999997</c:v>
                </c:pt>
                <c:pt idx="1">
                  <c:v>288.55894791666702</c:v>
                </c:pt>
                <c:pt idx="2">
                  <c:v>146.887265625</c:v>
                </c:pt>
              </c:numCache>
            </c:numRef>
          </c:val>
          <c:extLst>
            <c:ext xmlns:c16="http://schemas.microsoft.com/office/drawing/2014/chart" uri="{C3380CC4-5D6E-409C-BE32-E72D297353CC}">
              <c16:uniqueId val="{00000001-4600-47A6-971F-9A821D477CBF}"/>
            </c:ext>
          </c:extLst>
        </c:ser>
        <c:ser>
          <c:idx val="2"/>
          <c:order val="2"/>
          <c:tx>
            <c:strRef>
              <c:f>'WOS nephrops over 250kW'!$K$142</c:f>
              <c:strCache>
                <c:ptCount val="1"/>
                <c:pt idx="0">
                  <c:v>Operating profit</c:v>
                </c:pt>
              </c:strCache>
            </c:strRef>
          </c:tx>
          <c:spPr>
            <a:solidFill>
              <a:srgbClr val="51AA81"/>
            </a:solidFill>
          </c:spPr>
          <c:invertIfNegative val="0"/>
          <c:cat>
            <c:strRef>
              <c:f>'WOS nephrops over 250kW'!$L$139:$N$139</c:f>
              <c:strCache>
                <c:ptCount val="3"/>
                <c:pt idx="0">
                  <c:v>Most
profitable
quartile</c:v>
                </c:pt>
                <c:pt idx="1">
                  <c:v>Middle
two quartiles</c:v>
                </c:pt>
                <c:pt idx="2">
                  <c:v>Least
profitable
quartile</c:v>
                </c:pt>
              </c:strCache>
            </c:strRef>
          </c:cat>
          <c:val>
            <c:numRef>
              <c:f>'WOS nephrops over 250kW'!$L$142:$N$142</c:f>
              <c:numCache>
                <c:formatCode>#,##0</c:formatCode>
                <c:ptCount val="3"/>
                <c:pt idx="0">
                  <c:v>53.294531249999999</c:v>
                </c:pt>
                <c:pt idx="1">
                  <c:v>13.7360291666667</c:v>
                </c:pt>
                <c:pt idx="2">
                  <c:v>-2.223875</c:v>
                </c:pt>
              </c:numCache>
            </c:numRef>
          </c:val>
          <c:extLst>
            <c:ext xmlns:c16="http://schemas.microsoft.com/office/drawing/2014/chart" uri="{C3380CC4-5D6E-409C-BE32-E72D297353CC}">
              <c16:uniqueId val="{00000002-4600-47A6-971F-9A821D477CB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'WOS nephrops over 250kW'!$K$143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250kW'!$A$49</c:f>
          <c:strCache>
            <c:ptCount val="1"/>
            <c:pt idx="0">
              <c:v>Landings per kW day at sea (kg)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04A-420B-9D4C-5FD4C64FC618}"/>
              </c:ext>
            </c:extLst>
          </c:dPt>
          <c:dPt>
            <c:idx val="10"/>
            <c:bubble3D val="0"/>
            <c:spPr>
              <a:ln w="57150">
                <a:solidFill>
                  <a:srgbClr val="2273B9"/>
                </a:solidFill>
                <a:prstDash val="sysDot"/>
              </a:ln>
            </c:spPr>
            <c:extLst>
              <c:ext xmlns:c16="http://schemas.microsoft.com/office/drawing/2014/chart" uri="{C3380CC4-5D6E-409C-BE32-E72D297353CC}">
                <c16:uniqueId val="{00000003-F04A-420B-9D4C-5FD4C64FC618}"/>
              </c:ext>
            </c:extLst>
          </c:dPt>
          <c:cat>
            <c:numRef>
              <c:f>'WOS nephrops under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under 250kW'!$D$22:$N$22</c:f>
              <c:numCache>
                <c:formatCode>#,##0.00</c:formatCode>
                <c:ptCount val="11"/>
                <c:pt idx="0">
                  <c:v>2.4334448649644824</c:v>
                </c:pt>
                <c:pt idx="1">
                  <c:v>2.4824047124425221</c:v>
                </c:pt>
                <c:pt idx="2">
                  <c:v>2.3154563733374309</c:v>
                </c:pt>
                <c:pt idx="3">
                  <c:v>2.2142812605066986</c:v>
                </c:pt>
                <c:pt idx="4">
                  <c:v>2.6469764598383465</c:v>
                </c:pt>
                <c:pt idx="5">
                  <c:v>2.5014197797860556</c:v>
                </c:pt>
                <c:pt idx="6">
                  <c:v>2.403754053084084</c:v>
                </c:pt>
                <c:pt idx="7">
                  <c:v>2.5660184109601309</c:v>
                </c:pt>
                <c:pt idx="8">
                  <c:v>2.2654722424217861</c:v>
                </c:pt>
                <c:pt idx="9">
                  <c:v>2.7298565909675845</c:v>
                </c:pt>
                <c:pt idx="10">
                  <c:v>2.6672025080733066</c:v>
                </c:pt>
              </c:numCache>
            </c:numRef>
          </c:val>
          <c:smooth val="0"/>
          <c:extLst>
            <c:ext xmlns:c16="http://schemas.microsoft.com/office/drawing/2014/chart" uri="{C3380CC4-5D6E-409C-BE32-E72D297353CC}">
              <c16:uniqueId val="{00000004-F04A-420B-9D4C-5FD4C64FC618}"/>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u250kW'!$H$163</c:f>
              <c:strCache>
                <c:ptCount val="1"/>
                <c:pt idx="0">
                  <c:v>Nephrops</c:v>
                </c:pt>
              </c:strCache>
            </c:strRef>
          </c:tx>
          <c:spPr>
            <a:solidFill>
              <a:srgbClr val="2273B9"/>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u250kW'!$I$163:$K$163</c:f>
              <c:numCache>
                <c:formatCode>0%</c:formatCode>
                <c:ptCount val="3"/>
                <c:pt idx="0">
                  <c:v>0.93901950113273325</c:v>
                </c:pt>
                <c:pt idx="1">
                  <c:v>0.80849484336164568</c:v>
                </c:pt>
                <c:pt idx="2">
                  <c:v>0.88825492465767286</c:v>
                </c:pt>
              </c:numCache>
            </c:numRef>
          </c:val>
          <c:extLst>
            <c:ext xmlns:c16="http://schemas.microsoft.com/office/drawing/2014/chart" uri="{C3380CC4-5D6E-409C-BE32-E72D297353CC}">
              <c16:uniqueId val="{00000000-6F83-485C-BC4F-7AE84C4E6813}"/>
            </c:ext>
          </c:extLst>
        </c:ser>
        <c:ser>
          <c:idx val="1"/>
          <c:order val="1"/>
          <c:tx>
            <c:strRef>
              <c:f>'Area VIIa nephrops u250kW'!$H$164</c:f>
              <c:strCache>
                <c:ptCount val="1"/>
                <c:pt idx="0">
                  <c:v>Scallops</c:v>
                </c:pt>
              </c:strCache>
            </c:strRef>
          </c:tx>
          <c:spPr>
            <a:solidFill>
              <a:srgbClr val="E87308"/>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u250kW'!$I$164:$K$164</c:f>
              <c:numCache>
                <c:formatCode>0%</c:formatCode>
                <c:ptCount val="3"/>
                <c:pt idx="0">
                  <c:v>8.4364290554491857E-3</c:v>
                </c:pt>
                <c:pt idx="1">
                  <c:v>0.11552907554344354</c:v>
                </c:pt>
                <c:pt idx="2">
                  <c:v>4.9874317803129203E-2</c:v>
                </c:pt>
              </c:numCache>
            </c:numRef>
          </c:val>
          <c:extLst>
            <c:ext xmlns:c16="http://schemas.microsoft.com/office/drawing/2014/chart" uri="{C3380CC4-5D6E-409C-BE32-E72D297353CC}">
              <c16:uniqueId val="{00000001-6F83-485C-BC4F-7AE84C4E6813}"/>
            </c:ext>
          </c:extLst>
        </c:ser>
        <c:ser>
          <c:idx val="2"/>
          <c:order val="2"/>
          <c:tx>
            <c:strRef>
              <c:f>'Area VIIa nephrops u250kW'!$H$165</c:f>
              <c:strCache>
                <c:ptCount val="1"/>
                <c:pt idx="0">
                  <c:v>Brown Crab</c:v>
                </c:pt>
              </c:strCache>
            </c:strRef>
          </c:tx>
          <c:spPr>
            <a:solidFill>
              <a:srgbClr val="51AA81"/>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u250kW'!$I$165:$K$165</c:f>
              <c:numCache>
                <c:formatCode>0%</c:formatCode>
                <c:ptCount val="3"/>
                <c:pt idx="0">
                  <c:v>0</c:v>
                </c:pt>
                <c:pt idx="1">
                  <c:v>1.3177871054087711E-2</c:v>
                </c:pt>
                <c:pt idx="2">
                  <c:v>0</c:v>
                </c:pt>
              </c:numCache>
            </c:numRef>
          </c:val>
          <c:extLst>
            <c:ext xmlns:c16="http://schemas.microsoft.com/office/drawing/2014/chart" uri="{C3380CC4-5D6E-409C-BE32-E72D297353CC}">
              <c16:uniqueId val="{00000002-6F83-485C-BC4F-7AE84C4E6813}"/>
            </c:ext>
          </c:extLst>
        </c:ser>
        <c:ser>
          <c:idx val="3"/>
          <c:order val="3"/>
          <c:tx>
            <c:strRef>
              <c:f>'Area VIIa nephrops u250kW'!$H$166</c:f>
              <c:strCache>
                <c:ptCount val="1"/>
                <c:pt idx="0">
                  <c:v>Sole</c:v>
                </c:pt>
              </c:strCache>
            </c:strRef>
          </c:tx>
          <c:spPr>
            <a:solidFill>
              <a:srgbClr val="E84A38"/>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u250kW'!$I$166:$K$166</c:f>
              <c:numCache>
                <c:formatCode>0%</c:formatCode>
                <c:ptCount val="3"/>
                <c:pt idx="0">
                  <c:v>0</c:v>
                </c:pt>
                <c:pt idx="1">
                  <c:v>1.1632072573213515E-2</c:v>
                </c:pt>
                <c:pt idx="2">
                  <c:v>0</c:v>
                </c:pt>
              </c:numCache>
            </c:numRef>
          </c:val>
          <c:extLst>
            <c:ext xmlns:c16="http://schemas.microsoft.com/office/drawing/2014/chart" uri="{C3380CC4-5D6E-409C-BE32-E72D297353CC}">
              <c16:uniqueId val="{00000003-6F83-485C-BC4F-7AE84C4E6813}"/>
            </c:ext>
          </c:extLst>
        </c:ser>
        <c:ser>
          <c:idx val="4"/>
          <c:order val="4"/>
          <c:tx>
            <c:strRef>
              <c:f>'Area VIIa nephrops u250kW'!$H$167</c:f>
              <c:strCache>
                <c:ptCount val="1"/>
                <c:pt idx="0">
                  <c:v>Anglerfish</c:v>
                </c:pt>
              </c:strCache>
            </c:strRef>
          </c:tx>
          <c:spPr>
            <a:solidFill>
              <a:srgbClr val="648C2E"/>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u250kW'!$I$167:$K$167</c:f>
              <c:numCache>
                <c:formatCode>0%</c:formatCode>
                <c:ptCount val="3"/>
                <c:pt idx="0">
                  <c:v>1.9647788360538196E-2</c:v>
                </c:pt>
                <c:pt idx="1">
                  <c:v>1.1350583393345749E-2</c:v>
                </c:pt>
                <c:pt idx="2">
                  <c:v>9.7562333306705062E-3</c:v>
                </c:pt>
              </c:numCache>
            </c:numRef>
          </c:val>
          <c:extLst>
            <c:ext xmlns:c16="http://schemas.microsoft.com/office/drawing/2014/chart" uri="{C3380CC4-5D6E-409C-BE32-E72D297353CC}">
              <c16:uniqueId val="{00000004-6F83-485C-BC4F-7AE84C4E6813}"/>
            </c:ext>
          </c:extLst>
        </c:ser>
        <c:ser>
          <c:idx val="5"/>
          <c:order val="5"/>
          <c:tx>
            <c:strRef>
              <c:f>'Area VIIa nephrops u250kW'!$H$168</c:f>
              <c:strCache>
                <c:ptCount val="1"/>
                <c:pt idx="0">
                  <c:v>Whelks</c:v>
                </c:pt>
              </c:strCache>
            </c:strRef>
          </c:tx>
          <c:spPr>
            <a:solidFill>
              <a:srgbClr val="169FDB"/>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u250kW'!$I$168:$K$168</c:f>
              <c:numCache>
                <c:formatCode>0%</c:formatCode>
                <c:ptCount val="3"/>
                <c:pt idx="0">
                  <c:v>0</c:v>
                </c:pt>
                <c:pt idx="1">
                  <c:v>0</c:v>
                </c:pt>
                <c:pt idx="2">
                  <c:v>1.1935340009398285E-2</c:v>
                </c:pt>
              </c:numCache>
            </c:numRef>
          </c:val>
          <c:extLst>
            <c:ext xmlns:c16="http://schemas.microsoft.com/office/drawing/2014/chart" uri="{C3380CC4-5D6E-409C-BE32-E72D297353CC}">
              <c16:uniqueId val="{00000005-6F83-485C-BC4F-7AE84C4E6813}"/>
            </c:ext>
          </c:extLst>
        </c:ser>
        <c:ser>
          <c:idx val="6"/>
          <c:order val="6"/>
          <c:tx>
            <c:strRef>
              <c:f>'Area VIIa nephrops u250kW'!$H$169</c:f>
              <c:strCache>
                <c:ptCount val="1"/>
                <c:pt idx="0">
                  <c:v>Brill</c:v>
                </c:pt>
              </c:strCache>
            </c:strRef>
          </c:tx>
          <c:spPr>
            <a:solidFill>
              <a:srgbClr val="E40D2C"/>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u250kW'!$I$169:$K$169</c:f>
              <c:numCache>
                <c:formatCode>0%</c:formatCode>
                <c:ptCount val="3"/>
                <c:pt idx="0">
                  <c:v>0</c:v>
                </c:pt>
                <c:pt idx="1">
                  <c:v>0</c:v>
                </c:pt>
                <c:pt idx="2">
                  <c:v>8.1551195250152558E-3</c:v>
                </c:pt>
              </c:numCache>
            </c:numRef>
          </c:val>
          <c:extLst>
            <c:ext xmlns:c16="http://schemas.microsoft.com/office/drawing/2014/chart" uri="{C3380CC4-5D6E-409C-BE32-E72D297353CC}">
              <c16:uniqueId val="{00000006-6F83-485C-BC4F-7AE84C4E6813}"/>
            </c:ext>
          </c:extLst>
        </c:ser>
        <c:ser>
          <c:idx val="7"/>
          <c:order val="7"/>
          <c:tx>
            <c:strRef>
              <c:f>'Area VIIa nephrops u250kW'!$H$170</c:f>
              <c:strCache>
                <c:ptCount val="1"/>
                <c:pt idx="0">
                  <c:v>Les. Spot. Dog</c:v>
                </c:pt>
              </c:strCache>
            </c:strRef>
          </c:tx>
          <c:spPr>
            <a:solidFill>
              <a:srgbClr val="C1D119"/>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u250kW'!$I$170:$K$170</c:f>
              <c:numCache>
                <c:formatCode>0%</c:formatCode>
                <c:ptCount val="3"/>
                <c:pt idx="0">
                  <c:v>1.2723716534565279E-2</c:v>
                </c:pt>
                <c:pt idx="1">
                  <c:v>0</c:v>
                </c:pt>
                <c:pt idx="2">
                  <c:v>0</c:v>
                </c:pt>
              </c:numCache>
            </c:numRef>
          </c:val>
          <c:extLst>
            <c:ext xmlns:c16="http://schemas.microsoft.com/office/drawing/2014/chart" uri="{C3380CC4-5D6E-409C-BE32-E72D297353CC}">
              <c16:uniqueId val="{00000007-6F83-485C-BC4F-7AE84C4E6813}"/>
            </c:ext>
          </c:extLst>
        </c:ser>
        <c:ser>
          <c:idx val="8"/>
          <c:order val="8"/>
          <c:tx>
            <c:strRef>
              <c:f>'Area VIIa nephrops u250kW'!$H$171</c:f>
              <c:strCache>
                <c:ptCount val="1"/>
                <c:pt idx="0">
                  <c:v>Thornback Ray</c:v>
                </c:pt>
              </c:strCache>
            </c:strRef>
          </c:tx>
          <c:spPr>
            <a:solidFill>
              <a:srgbClr val="FED825"/>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u250kW'!$I$171:$K$171</c:f>
              <c:numCache>
                <c:formatCode>0%</c:formatCode>
                <c:ptCount val="3"/>
                <c:pt idx="0">
                  <c:v>5.904927521990358E-3</c:v>
                </c:pt>
                <c:pt idx="1">
                  <c:v>0</c:v>
                </c:pt>
                <c:pt idx="2">
                  <c:v>0</c:v>
                </c:pt>
              </c:numCache>
            </c:numRef>
          </c:val>
          <c:extLst>
            <c:ext xmlns:c16="http://schemas.microsoft.com/office/drawing/2014/chart" uri="{C3380CC4-5D6E-409C-BE32-E72D297353CC}">
              <c16:uniqueId val="{00000008-6F83-485C-BC4F-7AE84C4E6813}"/>
            </c:ext>
          </c:extLst>
        </c:ser>
        <c:ser>
          <c:idx val="9"/>
          <c:order val="9"/>
          <c:tx>
            <c:strRef>
              <c:f>'Area VIIa nephrops u250kW'!$H$172</c:f>
              <c:strCache>
                <c:ptCount val="1"/>
                <c:pt idx="0">
                  <c:v>Others</c:v>
                </c:pt>
              </c:strCache>
            </c:strRef>
          </c:tx>
          <c:spPr>
            <a:solidFill>
              <a:srgbClr val="55585A"/>
            </a:solidFill>
            <a:ln>
              <a:solidFill>
                <a:srgbClr val="FFFFFF"/>
              </a:solidFill>
            </a:ln>
          </c:spPr>
          <c:invertIfNegative val="0"/>
          <c:cat>
            <c:strRef>
              <c:f>'Area VIIa nephrops u250kW'!$I$162:$K$162</c:f>
              <c:strCache>
                <c:ptCount val="3"/>
                <c:pt idx="0">
                  <c:v>Most
profitable
quartile</c:v>
                </c:pt>
                <c:pt idx="1">
                  <c:v>Middle 
two quartiles</c:v>
                </c:pt>
                <c:pt idx="2">
                  <c:v>Least
profitable
quartile</c:v>
                </c:pt>
              </c:strCache>
            </c:strRef>
          </c:cat>
          <c:val>
            <c:numRef>
              <c:f>'Area VIIa nephrops u250kW'!$I$172:$K$172</c:f>
              <c:numCache>
                <c:formatCode>0%</c:formatCode>
                <c:ptCount val="3"/>
                <c:pt idx="0">
                  <c:v>1.4267637394723809E-2</c:v>
                </c:pt>
                <c:pt idx="1">
                  <c:v>3.9815554074263848E-2</c:v>
                </c:pt>
                <c:pt idx="2">
                  <c:v>3.2024064674113784E-2</c:v>
                </c:pt>
              </c:numCache>
            </c:numRef>
          </c:val>
          <c:extLst>
            <c:ext xmlns:c16="http://schemas.microsoft.com/office/drawing/2014/chart" uri="{C3380CC4-5D6E-409C-BE32-E72D297353CC}">
              <c16:uniqueId val="{00000009-6F83-485C-BC4F-7AE84C4E6813}"/>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250kW'!$A$50</c:f>
          <c:strCache>
            <c:ptCount val="1"/>
            <c:pt idx="0">
              <c:v>Fishing income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6C3-45E7-9D8C-8F37AAD3A9A3}"/>
              </c:ext>
            </c:extLst>
          </c:dPt>
          <c:dPt>
            <c:idx val="10"/>
            <c:bubble3D val="0"/>
            <c:spPr>
              <a:ln w="57150">
                <a:solidFill>
                  <a:srgbClr val="648C2E"/>
                </a:solidFill>
                <a:prstDash val="sysDot"/>
              </a:ln>
            </c:spPr>
            <c:extLst>
              <c:ext xmlns:c16="http://schemas.microsoft.com/office/drawing/2014/chart" uri="{C3380CC4-5D6E-409C-BE32-E72D297353CC}">
                <c16:uniqueId val="{00000003-06C3-45E7-9D8C-8F37AAD3A9A3}"/>
              </c:ext>
            </c:extLst>
          </c:dPt>
          <c:cat>
            <c:numRef>
              <c:f>'WOS nephrops under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under 250kW'!$D$23:$N$23</c:f>
              <c:numCache>
                <c:formatCode>#,##0.00</c:formatCode>
                <c:ptCount val="11"/>
                <c:pt idx="0">
                  <c:v>8.4002573011121804</c:v>
                </c:pt>
                <c:pt idx="1">
                  <c:v>7.6211470616353596</c:v>
                </c:pt>
                <c:pt idx="2">
                  <c:v>7.5080222453201104</c:v>
                </c:pt>
                <c:pt idx="3">
                  <c:v>7.2499557602425897</c:v>
                </c:pt>
                <c:pt idx="4">
                  <c:v>8.0101939211673905</c:v>
                </c:pt>
                <c:pt idx="5">
                  <c:v>7.5964254575229697</c:v>
                </c:pt>
                <c:pt idx="6">
                  <c:v>7.7010444115313001</c:v>
                </c:pt>
                <c:pt idx="7">
                  <c:v>7.9226108545835903</c:v>
                </c:pt>
                <c:pt idx="8">
                  <c:v>5.2919001895289002</c:v>
                </c:pt>
                <c:pt idx="9">
                  <c:v>6.5569112734605897</c:v>
                </c:pt>
                <c:pt idx="10">
                  <c:v>8.5722647437229309</c:v>
                </c:pt>
              </c:numCache>
            </c:numRef>
          </c:val>
          <c:smooth val="0"/>
          <c:extLst>
            <c:ext xmlns:c16="http://schemas.microsoft.com/office/drawing/2014/chart" uri="{C3380CC4-5D6E-409C-BE32-E72D297353CC}">
              <c16:uniqueId val="{00000004-06C3-45E7-9D8C-8F37AAD3A9A3}"/>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250kW'!$B$63</c:f>
          <c:strCache>
            <c:ptCount val="1"/>
            <c:pt idx="0">
              <c:v>Total cost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4B3F-44FD-B9F8-B7174189E8B4}"/>
              </c:ext>
            </c:extLst>
          </c:dPt>
          <c:dPt>
            <c:idx val="10"/>
            <c:bubble3D val="0"/>
            <c:spPr>
              <a:ln w="57150">
                <a:solidFill>
                  <a:srgbClr val="087CBB"/>
                </a:solidFill>
                <a:prstDash val="sysDot"/>
              </a:ln>
            </c:spPr>
            <c:extLst>
              <c:ext xmlns:c16="http://schemas.microsoft.com/office/drawing/2014/chart" uri="{C3380CC4-5D6E-409C-BE32-E72D297353CC}">
                <c16:uniqueId val="{00000003-4B3F-44FD-B9F8-B7174189E8B4}"/>
              </c:ext>
            </c:extLst>
          </c:dPt>
          <c:cat>
            <c:numRef>
              <c:f>'WOS nephrops under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under 250kW'!$D$24:$N$24</c:f>
              <c:numCache>
                <c:formatCode>#,##0.00</c:formatCode>
                <c:ptCount val="11"/>
                <c:pt idx="0">
                  <c:v>6.9648706230753996</c:v>
                </c:pt>
                <c:pt idx="1">
                  <c:v>6.7329436650219998</c:v>
                </c:pt>
                <c:pt idx="2">
                  <c:v>6.6692771916306199</c:v>
                </c:pt>
                <c:pt idx="3">
                  <c:v>5.9603531054048</c:v>
                </c:pt>
                <c:pt idx="4">
                  <c:v>6.6123243951327799</c:v>
                </c:pt>
                <c:pt idx="5">
                  <c:v>6.4603646662633496</c:v>
                </c:pt>
                <c:pt idx="6">
                  <c:v>6.5303007114149398</c:v>
                </c:pt>
                <c:pt idx="7">
                  <c:v>6.70186880724009</c:v>
                </c:pt>
                <c:pt idx="8">
                  <c:v>4.8151887228519596</c:v>
                </c:pt>
                <c:pt idx="9">
                  <c:v>6.6541008747666002</c:v>
                </c:pt>
                <c:pt idx="10">
                  <c:v>8.91612946377745</c:v>
                </c:pt>
              </c:numCache>
            </c:numRef>
          </c:val>
          <c:smooth val="0"/>
          <c:extLst>
            <c:ext xmlns:c16="http://schemas.microsoft.com/office/drawing/2014/chart" uri="{C3380CC4-5D6E-409C-BE32-E72D297353CC}">
              <c16:uniqueId val="{00000004-4B3F-44FD-B9F8-B7174189E8B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250kW'!$K$49</c:f>
          <c:strCache>
            <c:ptCount val="1"/>
            <c:pt idx="0">
              <c:v>Operating profit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1CAD-4858-953D-ACB3D65DEBB7}"/>
              </c:ext>
            </c:extLst>
          </c:dPt>
          <c:dPt>
            <c:idx val="10"/>
            <c:bubble3D val="0"/>
            <c:spPr>
              <a:ln w="57150">
                <a:solidFill>
                  <a:schemeClr val="accent3"/>
                </a:solidFill>
                <a:prstDash val="sysDot"/>
              </a:ln>
            </c:spPr>
            <c:extLst>
              <c:ext xmlns:c16="http://schemas.microsoft.com/office/drawing/2014/chart" uri="{C3380CC4-5D6E-409C-BE32-E72D297353CC}">
                <c16:uniqueId val="{00000003-1CAD-4858-953D-ACB3D65DEBB7}"/>
              </c:ext>
            </c:extLst>
          </c:dPt>
          <c:cat>
            <c:numRef>
              <c:f>'WOS nephrops under 250kW'!$D$2:$N$2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'WOS nephrops under 250kW'!$D$25:$N$25</c:f>
              <c:numCache>
                <c:formatCode>#,##0.00</c:formatCode>
                <c:ptCount val="11"/>
                <c:pt idx="0">
                  <c:v>1.9224205531315901</c:v>
                </c:pt>
                <c:pt idx="1">
                  <c:v>1.24324169136387</c:v>
                </c:pt>
                <c:pt idx="2">
                  <c:v>1.36569721783525</c:v>
                </c:pt>
                <c:pt idx="3">
                  <c:v>1.4745095158177901</c:v>
                </c:pt>
                <c:pt idx="4">
                  <c:v>1.6816600333063001</c:v>
                </c:pt>
                <c:pt idx="5">
                  <c:v>1.3014876488607801</c:v>
                </c:pt>
                <c:pt idx="6">
                  <c:v>1.2536645855266599</c:v>
                </c:pt>
                <c:pt idx="7">
                  <c:v>1.29069072788237</c:v>
                </c:pt>
                <c:pt idx="8">
                  <c:v>1.0149893323118599</c:v>
                </c:pt>
                <c:pt idx="9">
                  <c:v>0.18885110984595599</c:v>
                </c:pt>
                <c:pt idx="10">
                  <c:v>-4.6217477424551699E-2</c:v>
                </c:pt>
              </c:numCache>
            </c:numRef>
          </c:val>
          <c:smooth val="0"/>
          <c:extLst>
            <c:ext xmlns:c16="http://schemas.microsoft.com/office/drawing/2014/chart" uri="{C3380CC4-5D6E-409C-BE32-E72D297353CC}">
              <c16:uniqueId val="{00000004-1CAD-4858-953D-ACB3D65DEBB7}"/>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250kW'!$A$51</c:f>
          <c:strCache>
            <c:ptCount val="1"/>
            <c:pt idx="0">
              <c:v>Average price per tonne landed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28CA-4D0B-BA52-5C7BEC2F21BD}"/>
              </c:ext>
            </c:extLst>
          </c:dPt>
          <c:dPt>
            <c:idx val="10"/>
            <c:bubble3D val="0"/>
            <c:spPr>
              <a:ln w="57150">
                <a:solidFill>
                  <a:schemeClr val="accent4"/>
                </a:solidFill>
                <a:prstDash val="sysDot"/>
              </a:ln>
            </c:spPr>
            <c:extLst>
              <c:ext xmlns:c16="http://schemas.microsoft.com/office/drawing/2014/chart" uri="{C3380CC4-5D6E-409C-BE32-E72D297353CC}">
                <c16:uniqueId val="{00000003-28CA-4D0B-BA52-5C7BEC2F21BD}"/>
              </c:ext>
            </c:extLst>
          </c:dPt>
          <c:cat>
            <c:numRef>
              <c:f>'WOS nephrops under 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250kW'!$D$21:$N$21</c:f>
              <c:numCache>
                <c:formatCode>#,##0</c:formatCode>
                <c:ptCount val="11"/>
                <c:pt idx="0">
                  <c:v>3452</c:v>
                </c:pt>
                <c:pt idx="1">
                  <c:v>3070</c:v>
                </c:pt>
                <c:pt idx="2">
                  <c:v>3243</c:v>
                </c:pt>
                <c:pt idx="3">
                  <c:v>3274</c:v>
                </c:pt>
                <c:pt idx="4">
                  <c:v>3026</c:v>
                </c:pt>
                <c:pt idx="5">
                  <c:v>3037</c:v>
                </c:pt>
                <c:pt idx="6">
                  <c:v>3204</c:v>
                </c:pt>
                <c:pt idx="7">
                  <c:v>3088</c:v>
                </c:pt>
                <c:pt idx="8">
                  <c:v>2336</c:v>
                </c:pt>
                <c:pt idx="9">
                  <c:v>2402</c:v>
                </c:pt>
                <c:pt idx="10">
                  <c:v>3214</c:v>
                </c:pt>
              </c:numCache>
            </c:numRef>
          </c:val>
          <c:smooth val="0"/>
          <c:extLst>
            <c:ext xmlns:c16="http://schemas.microsoft.com/office/drawing/2014/chart" uri="{C3380CC4-5D6E-409C-BE32-E72D297353CC}">
              <c16:uniqueId val="{00000004-28CA-4D0B-BA52-5C7BEC2F21BD}"/>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250kW'!$K$63</c:f>
          <c:strCache>
            <c:ptCount val="1"/>
            <c:pt idx="0">
              <c:v>Average annual operating profit per vessel (£'000)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83F-47C2-BE35-1BC33830559B}"/>
              </c:ext>
            </c:extLst>
          </c:dPt>
          <c:dPt>
            <c:idx val="10"/>
            <c:bubble3D val="0"/>
            <c:spPr>
              <a:ln w="57150">
                <a:solidFill>
                  <a:schemeClr val="accent5"/>
                </a:solidFill>
                <a:prstDash val="sysDot"/>
              </a:ln>
            </c:spPr>
            <c:extLst>
              <c:ext xmlns:c16="http://schemas.microsoft.com/office/drawing/2014/chart" uri="{C3380CC4-5D6E-409C-BE32-E72D297353CC}">
                <c16:uniqueId val="{00000003-B83F-47C2-BE35-1BC33830559B}"/>
              </c:ext>
            </c:extLst>
          </c:dPt>
          <c:cat>
            <c:numRef>
              <c:f>'WOS nephrops under 250kW'!$D$2:$M$2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250kW'!$D$38:$N$38</c:f>
              <c:numCache>
                <c:formatCode>#,##0.0</c:formatCode>
                <c:ptCount val="11"/>
                <c:pt idx="0">
                  <c:v>52.5</c:v>
                </c:pt>
                <c:pt idx="1">
                  <c:v>33.299999999999997</c:v>
                </c:pt>
                <c:pt idx="2">
                  <c:v>36.6</c:v>
                </c:pt>
                <c:pt idx="3">
                  <c:v>36.9</c:v>
                </c:pt>
                <c:pt idx="4">
                  <c:v>45.5</c:v>
                </c:pt>
                <c:pt idx="5">
                  <c:v>33.299999999999997</c:v>
                </c:pt>
                <c:pt idx="6">
                  <c:v>32.200000000000003</c:v>
                </c:pt>
                <c:pt idx="7">
                  <c:v>36.5</c:v>
                </c:pt>
                <c:pt idx="8">
                  <c:v>22.2</c:v>
                </c:pt>
                <c:pt idx="9">
                  <c:v>4.9000000000000004</c:v>
                </c:pt>
                <c:pt idx="10">
                  <c:v>-1.1000000000000001</c:v>
                </c:pt>
              </c:numCache>
            </c:numRef>
          </c:val>
          <c:smooth val="0"/>
          <c:extLst>
            <c:ext xmlns:c16="http://schemas.microsoft.com/office/drawing/2014/chart" uri="{C3380CC4-5D6E-409C-BE32-E72D297353CC}">
              <c16:uniqueId val="{00000004-B83F-47C2-BE35-1BC33830559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250kW'!$A$77</c:f>
          <c:strCache>
            <c:ptCount val="1"/>
            <c:pt idx="0">
              <c:v>Top 5 landed species by volume in 2021
WOS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F09-47C6-9BF0-9B759ED4FDA6}"/>
              </c:ext>
            </c:extLst>
          </c:dPt>
          <c:dPt>
            <c:idx val="1"/>
            <c:bubble3D val="0"/>
            <c:spPr>
              <a:solidFill>
                <a:srgbClr val="648C2E"/>
              </a:solidFill>
              <a:ln>
                <a:solidFill>
                  <a:srgbClr val="FFFFFF"/>
                </a:solidFill>
              </a:ln>
            </c:spPr>
            <c:extLst>
              <c:ext xmlns:c16="http://schemas.microsoft.com/office/drawing/2014/chart" uri="{C3380CC4-5D6E-409C-BE32-E72D297353CC}">
                <c16:uniqueId val="{00000003-6F09-47C6-9BF0-9B759ED4FDA6}"/>
              </c:ext>
            </c:extLst>
          </c:dPt>
          <c:dPt>
            <c:idx val="2"/>
            <c:bubble3D val="0"/>
            <c:spPr>
              <a:solidFill>
                <a:srgbClr val="E87308"/>
              </a:solidFill>
              <a:ln>
                <a:solidFill>
                  <a:srgbClr val="FFFFFF"/>
                </a:solidFill>
              </a:ln>
            </c:spPr>
            <c:extLst>
              <c:ext xmlns:c16="http://schemas.microsoft.com/office/drawing/2014/chart" uri="{C3380CC4-5D6E-409C-BE32-E72D297353CC}">
                <c16:uniqueId val="{00000005-6F09-47C6-9BF0-9B759ED4FDA6}"/>
              </c:ext>
            </c:extLst>
          </c:dPt>
          <c:dPt>
            <c:idx val="3"/>
            <c:bubble3D val="0"/>
            <c:spPr>
              <a:solidFill>
                <a:srgbClr val="C1D119"/>
              </a:solidFill>
              <a:ln>
                <a:solidFill>
                  <a:srgbClr val="FFFFFF"/>
                </a:solidFill>
              </a:ln>
            </c:spPr>
            <c:extLst>
              <c:ext xmlns:c16="http://schemas.microsoft.com/office/drawing/2014/chart" uri="{C3380CC4-5D6E-409C-BE32-E72D297353CC}">
                <c16:uniqueId val="{00000007-6F09-47C6-9BF0-9B759ED4FDA6}"/>
              </c:ext>
            </c:extLst>
          </c:dPt>
          <c:dPt>
            <c:idx val="4"/>
            <c:bubble3D val="0"/>
            <c:spPr>
              <a:solidFill>
                <a:srgbClr val="E84A38"/>
              </a:solidFill>
              <a:ln>
                <a:solidFill>
                  <a:srgbClr val="FFFFFF"/>
                </a:solidFill>
              </a:ln>
            </c:spPr>
            <c:extLst>
              <c:ext xmlns:c16="http://schemas.microsoft.com/office/drawing/2014/chart" uri="{C3380CC4-5D6E-409C-BE32-E72D297353CC}">
                <c16:uniqueId val="{00000009-6F09-47C6-9BF0-9B759ED4FDA6}"/>
              </c:ext>
            </c:extLst>
          </c:dPt>
          <c:dPt>
            <c:idx val="5"/>
            <c:bubble3D val="0"/>
            <c:spPr>
              <a:solidFill>
                <a:srgbClr val="55585A"/>
              </a:solidFill>
              <a:ln>
                <a:solidFill>
                  <a:srgbClr val="FFFFFF"/>
                </a:solidFill>
              </a:ln>
            </c:spPr>
            <c:extLst>
              <c:ext xmlns:c16="http://schemas.microsoft.com/office/drawing/2014/chart" uri="{C3380CC4-5D6E-409C-BE32-E72D297353CC}">
                <c16:uniqueId val="{0000000B-6F09-47C6-9BF0-9B759ED4FDA6}"/>
              </c:ext>
            </c:extLst>
          </c:dPt>
          <c:cat>
            <c:strRef>
              <c:f>'WOS nephrops under 250kW'!$B$78:$B$83</c:f>
              <c:strCache>
                <c:ptCount val="6"/>
                <c:pt idx="0">
                  <c:v>Nephrops - 96.0%</c:v>
                </c:pt>
                <c:pt idx="1">
                  <c:v>Queen Scallops - 2.2%</c:v>
                </c:pt>
                <c:pt idx="2">
                  <c:v>Squid - 0.5%</c:v>
                </c:pt>
                <c:pt idx="3">
                  <c:v>Brown Crab - 0.5%</c:v>
                </c:pt>
                <c:pt idx="4">
                  <c:v>Haddock - 0.2%</c:v>
                </c:pt>
                <c:pt idx="5">
                  <c:v>Others - 0.6%</c:v>
                </c:pt>
              </c:strCache>
            </c:strRef>
          </c:cat>
          <c:val>
            <c:numRef>
              <c:f>'WOS nephrops under 250kW'!$C$78:$C$83</c:f>
              <c:numCache>
                <c:formatCode>0.0%</c:formatCode>
                <c:ptCount val="6"/>
                <c:pt idx="0">
                  <c:v>0.96013404891137866</c:v>
                </c:pt>
                <c:pt idx="1">
                  <c:v>2.2154963064173038E-2</c:v>
                </c:pt>
                <c:pt idx="2">
                  <c:v>5.3124662869681819E-3</c:v>
                </c:pt>
                <c:pt idx="3">
                  <c:v>4.5067534379843776E-3</c:v>
                </c:pt>
                <c:pt idx="4">
                  <c:v>1.6295279036130377E-3</c:v>
                </c:pt>
                <c:pt idx="5">
                  <c:v>6.2622403958827455E-3</c:v>
                </c:pt>
              </c:numCache>
            </c:numRef>
          </c:val>
          <c:extLst>
            <c:ext xmlns:c16="http://schemas.microsoft.com/office/drawing/2014/chart" uri="{C3380CC4-5D6E-409C-BE32-E72D297353CC}">
              <c16:uniqueId val="{0000000C-6F09-47C6-9BF0-9B759ED4FDA6}"/>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250kW'!$F$77</c:f>
          <c:strCache>
            <c:ptCount val="1"/>
            <c:pt idx="0">
              <c:v>Top 5 landed species by value in 2021
WOS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612-48B7-A99B-C526CC433023}"/>
              </c:ext>
            </c:extLst>
          </c:dPt>
          <c:dPt>
            <c:idx val="1"/>
            <c:bubble3D val="0"/>
            <c:spPr>
              <a:solidFill>
                <a:srgbClr val="E87308"/>
              </a:solidFill>
              <a:ln>
                <a:solidFill>
                  <a:srgbClr val="FFFFFF"/>
                </a:solidFill>
              </a:ln>
            </c:spPr>
            <c:extLst>
              <c:ext xmlns:c16="http://schemas.microsoft.com/office/drawing/2014/chart" uri="{C3380CC4-5D6E-409C-BE32-E72D297353CC}">
                <c16:uniqueId val="{00000003-3612-48B7-A99B-C526CC433023}"/>
              </c:ext>
            </c:extLst>
          </c:dPt>
          <c:dPt>
            <c:idx val="2"/>
            <c:bubble3D val="0"/>
            <c:spPr>
              <a:solidFill>
                <a:srgbClr val="648C2E"/>
              </a:solidFill>
              <a:ln>
                <a:solidFill>
                  <a:srgbClr val="FFFFFF"/>
                </a:solidFill>
              </a:ln>
            </c:spPr>
            <c:extLst>
              <c:ext xmlns:c16="http://schemas.microsoft.com/office/drawing/2014/chart" uri="{C3380CC4-5D6E-409C-BE32-E72D297353CC}">
                <c16:uniqueId val="{00000005-3612-48B7-A99B-C526CC433023}"/>
              </c:ext>
            </c:extLst>
          </c:dPt>
          <c:dPt>
            <c:idx val="3"/>
            <c:bubble3D val="0"/>
            <c:spPr>
              <a:solidFill>
                <a:srgbClr val="C1D119"/>
              </a:solidFill>
              <a:ln>
                <a:solidFill>
                  <a:srgbClr val="FFFFFF"/>
                </a:solidFill>
              </a:ln>
            </c:spPr>
            <c:extLst>
              <c:ext xmlns:c16="http://schemas.microsoft.com/office/drawing/2014/chart" uri="{C3380CC4-5D6E-409C-BE32-E72D297353CC}">
                <c16:uniqueId val="{00000007-3612-48B7-A99B-C526CC433023}"/>
              </c:ext>
            </c:extLst>
          </c:dPt>
          <c:dPt>
            <c:idx val="4"/>
            <c:bubble3D val="0"/>
            <c:spPr>
              <a:solidFill>
                <a:srgbClr val="E84A38"/>
              </a:solidFill>
              <a:ln>
                <a:solidFill>
                  <a:srgbClr val="FFFFFF"/>
                </a:solidFill>
              </a:ln>
            </c:spPr>
            <c:extLst>
              <c:ext xmlns:c16="http://schemas.microsoft.com/office/drawing/2014/chart" uri="{C3380CC4-5D6E-409C-BE32-E72D297353CC}">
                <c16:uniqueId val="{00000009-3612-48B7-A99B-C526CC433023}"/>
              </c:ext>
            </c:extLst>
          </c:dPt>
          <c:dPt>
            <c:idx val="5"/>
            <c:bubble3D val="0"/>
            <c:spPr>
              <a:solidFill>
                <a:srgbClr val="55585A"/>
              </a:solidFill>
              <a:ln>
                <a:solidFill>
                  <a:srgbClr val="FFFFFF"/>
                </a:solidFill>
              </a:ln>
            </c:spPr>
            <c:extLst>
              <c:ext xmlns:c16="http://schemas.microsoft.com/office/drawing/2014/chart" uri="{C3380CC4-5D6E-409C-BE32-E72D297353CC}">
                <c16:uniqueId val="{0000000B-3612-48B7-A99B-C526CC433023}"/>
              </c:ext>
            </c:extLst>
          </c:dPt>
          <c:cat>
            <c:strRef>
              <c:f>'WOS nephrops under 250kW'!$G$78:$G$83</c:f>
              <c:strCache>
                <c:ptCount val="6"/>
                <c:pt idx="0">
                  <c:v>Nephrops - 97.5%</c:v>
                </c:pt>
                <c:pt idx="1">
                  <c:v>Squid - 1.0%</c:v>
                </c:pt>
                <c:pt idx="2">
                  <c:v>Queen Scallops - 0.7%</c:v>
                </c:pt>
                <c:pt idx="3">
                  <c:v>Brown Crab - 0.4%</c:v>
                </c:pt>
                <c:pt idx="4">
                  <c:v>Haddock - 0.1%</c:v>
                </c:pt>
                <c:pt idx="5">
                  <c:v>Others - 0.4%</c:v>
                </c:pt>
              </c:strCache>
            </c:strRef>
          </c:cat>
          <c:val>
            <c:numRef>
              <c:f>'WOS nephrops under 250kW'!$H$78:$H$83</c:f>
              <c:numCache>
                <c:formatCode>0.0%</c:formatCode>
                <c:ptCount val="6"/>
                <c:pt idx="0">
                  <c:v>0.97455669299414416</c:v>
                </c:pt>
                <c:pt idx="1">
                  <c:v>9.7353969072463114E-3</c:v>
                </c:pt>
                <c:pt idx="2">
                  <c:v>6.6323420724005997E-3</c:v>
                </c:pt>
                <c:pt idx="3">
                  <c:v>4.2015002290426021E-3</c:v>
                </c:pt>
                <c:pt idx="4">
                  <c:v>8.0273369409119037E-4</c:v>
                </c:pt>
                <c:pt idx="5">
                  <c:v>4.0713341030750305E-3</c:v>
                </c:pt>
              </c:numCache>
            </c:numRef>
          </c:val>
          <c:extLst>
            <c:ext xmlns:c16="http://schemas.microsoft.com/office/drawing/2014/chart" uri="{C3380CC4-5D6E-409C-BE32-E72D297353CC}">
              <c16:uniqueId val="{0000000C-3612-48B7-A99B-C526CC43302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under 250kW'!$C$93</c:f>
              <c:strCache>
                <c:ptCount val="1"/>
                <c:pt idx="0">
                  <c:v>Nephrops</c:v>
                </c:pt>
              </c:strCache>
            </c:strRef>
          </c:tx>
          <c:spPr>
            <a:solidFill>
              <a:srgbClr val="2273B9"/>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250kW'!$D$93:$M$93</c:f>
              <c:numCache>
                <c:formatCode>0%</c:formatCode>
                <c:ptCount val="10"/>
                <c:pt idx="0">
                  <c:v>0.95642993523267572</c:v>
                </c:pt>
                <c:pt idx="1">
                  <c:v>0.97638166235546109</c:v>
                </c:pt>
                <c:pt idx="2">
                  <c:v>0.97741443134295813</c:v>
                </c:pt>
                <c:pt idx="3">
                  <c:v>0.97618976902922794</c:v>
                </c:pt>
                <c:pt idx="4">
                  <c:v>0.96549998264429027</c:v>
                </c:pt>
                <c:pt idx="5">
                  <c:v>0.96408525618343599</c:v>
                </c:pt>
                <c:pt idx="6">
                  <c:v>0.95675579344801076</c:v>
                </c:pt>
                <c:pt idx="7">
                  <c:v>0.93222739631306906</c:v>
                </c:pt>
                <c:pt idx="8">
                  <c:v>0.97455669299414416</c:v>
                </c:pt>
                <c:pt idx="9">
                  <c:v>0.97667339182282453</c:v>
                </c:pt>
              </c:numCache>
            </c:numRef>
          </c:val>
          <c:extLst>
            <c:ext xmlns:c16="http://schemas.microsoft.com/office/drawing/2014/chart" uri="{C3380CC4-5D6E-409C-BE32-E72D297353CC}">
              <c16:uniqueId val="{00000000-AEDB-432E-A41B-5A88B223F879}"/>
            </c:ext>
          </c:extLst>
        </c:ser>
        <c:ser>
          <c:idx val="1"/>
          <c:order val="1"/>
          <c:tx>
            <c:strRef>
              <c:f>'WOS nephrops under 250kW'!$C$94</c:f>
              <c:strCache>
                <c:ptCount val="1"/>
                <c:pt idx="0">
                  <c:v>Squid</c:v>
                </c:pt>
              </c:strCache>
            </c:strRef>
          </c:tx>
          <c:spPr>
            <a:solidFill>
              <a:srgbClr val="E87308"/>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250kW'!$D$94:$M$94</c:f>
              <c:numCache>
                <c:formatCode>0%</c:formatCode>
                <c:ptCount val="10"/>
                <c:pt idx="0">
                  <c:v>3.7594886197009972E-3</c:v>
                </c:pt>
                <c:pt idx="3">
                  <c:v>2.928563782190894E-3</c:v>
                </c:pt>
                <c:pt idx="4">
                  <c:v>7.9936219725133765E-3</c:v>
                </c:pt>
                <c:pt idx="5">
                  <c:v>5.5430186986126766E-3</c:v>
                </c:pt>
                <c:pt idx="6">
                  <c:v>1.1684202946302203E-2</c:v>
                </c:pt>
                <c:pt idx="7">
                  <c:v>2.8282472458992604E-2</c:v>
                </c:pt>
                <c:pt idx="8">
                  <c:v>9.7353969072463114E-3</c:v>
                </c:pt>
                <c:pt idx="9">
                  <c:v>6.419819636671268E-3</c:v>
                </c:pt>
              </c:numCache>
            </c:numRef>
          </c:val>
          <c:extLst>
            <c:ext xmlns:c16="http://schemas.microsoft.com/office/drawing/2014/chart" uri="{C3380CC4-5D6E-409C-BE32-E72D297353CC}">
              <c16:uniqueId val="{00000001-AEDB-432E-A41B-5A88B223F879}"/>
            </c:ext>
          </c:extLst>
        </c:ser>
        <c:ser>
          <c:idx val="2"/>
          <c:order val="2"/>
          <c:tx>
            <c:strRef>
              <c:f>'WOS nephrops under 250kW'!$C$95</c:f>
              <c:strCache>
                <c:ptCount val="1"/>
                <c:pt idx="0">
                  <c:v>Queen Scallops</c:v>
                </c:pt>
              </c:strCache>
            </c:strRef>
          </c:tx>
          <c:spPr>
            <a:solidFill>
              <a:srgbClr val="648C2E"/>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250kW'!$D$95:$M$95</c:f>
              <c:numCache>
                <c:formatCode>0%</c:formatCode>
                <c:ptCount val="10"/>
                <c:pt idx="0">
                  <c:v>7.5278379966742786E-3</c:v>
                </c:pt>
                <c:pt idx="8">
                  <c:v>6.6323420724005997E-3</c:v>
                </c:pt>
                <c:pt idx="9">
                  <c:v>2.4059957561643371E-3</c:v>
                </c:pt>
              </c:numCache>
            </c:numRef>
          </c:val>
          <c:extLst>
            <c:ext xmlns:c16="http://schemas.microsoft.com/office/drawing/2014/chart" uri="{C3380CC4-5D6E-409C-BE32-E72D297353CC}">
              <c16:uniqueId val="{00000002-AEDB-432E-A41B-5A88B223F879}"/>
            </c:ext>
          </c:extLst>
        </c:ser>
        <c:ser>
          <c:idx val="3"/>
          <c:order val="3"/>
          <c:tx>
            <c:strRef>
              <c:f>'WOS nephrops under 250kW'!$C$96</c:f>
              <c:strCache>
                <c:ptCount val="1"/>
                <c:pt idx="0">
                  <c:v>Brown Crab</c:v>
                </c:pt>
              </c:strCache>
            </c:strRef>
          </c:tx>
          <c:spPr>
            <a:solidFill>
              <a:srgbClr val="C1D119"/>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250kW'!$D$96:$M$96</c:f>
              <c:numCache>
                <c:formatCode>0%</c:formatCode>
                <c:ptCount val="10"/>
                <c:pt idx="1">
                  <c:v>3.4221695504747613E-3</c:v>
                </c:pt>
                <c:pt idx="2">
                  <c:v>2.9480861338771801E-3</c:v>
                </c:pt>
                <c:pt idx="3">
                  <c:v>4.1063303031282292E-3</c:v>
                </c:pt>
                <c:pt idx="4">
                  <c:v>8.2183767819332208E-3</c:v>
                </c:pt>
                <c:pt idx="5">
                  <c:v>1.082066561268367E-2</c:v>
                </c:pt>
                <c:pt idx="7">
                  <c:v>3.7058274146666266E-3</c:v>
                </c:pt>
                <c:pt idx="8">
                  <c:v>4.2015002290426021E-3</c:v>
                </c:pt>
                <c:pt idx="9">
                  <c:v>4.9968712183518626E-3</c:v>
                </c:pt>
              </c:numCache>
            </c:numRef>
          </c:val>
          <c:extLst>
            <c:ext xmlns:c16="http://schemas.microsoft.com/office/drawing/2014/chart" uri="{C3380CC4-5D6E-409C-BE32-E72D297353CC}">
              <c16:uniqueId val="{00000003-AEDB-432E-A41B-5A88B223F879}"/>
            </c:ext>
          </c:extLst>
        </c:ser>
        <c:ser>
          <c:idx val="4"/>
          <c:order val="4"/>
          <c:tx>
            <c:strRef>
              <c:f>'WOS nephrops under 250kW'!$C$97</c:f>
              <c:strCache>
                <c:ptCount val="1"/>
                <c:pt idx="0">
                  <c:v>Haddock</c:v>
                </c:pt>
              </c:strCache>
            </c:strRef>
          </c:tx>
          <c:spPr>
            <a:solidFill>
              <a:srgbClr val="E84A38"/>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250kW'!$D$97:$M$97</c:f>
              <c:numCache>
                <c:formatCode>0%</c:formatCode>
                <c:ptCount val="10"/>
                <c:pt idx="2">
                  <c:v>1.5410572834852749E-3</c:v>
                </c:pt>
                <c:pt idx="8">
                  <c:v>8.0273369409119037E-4</c:v>
                </c:pt>
              </c:numCache>
            </c:numRef>
          </c:val>
          <c:extLst>
            <c:ext xmlns:c16="http://schemas.microsoft.com/office/drawing/2014/chart" uri="{C3380CC4-5D6E-409C-BE32-E72D297353CC}">
              <c16:uniqueId val="{00000004-AEDB-432E-A41B-5A88B223F879}"/>
            </c:ext>
          </c:extLst>
        </c:ser>
        <c:ser>
          <c:idx val="5"/>
          <c:order val="5"/>
          <c:tx>
            <c:strRef>
              <c:f>'WOS nephrops under 250kW'!$C$98</c:f>
              <c:strCache>
                <c:ptCount val="1"/>
                <c:pt idx="0">
                  <c:v>Scallops</c:v>
                </c:pt>
              </c:strCache>
            </c:strRef>
          </c:tx>
          <c:spPr>
            <a:solidFill>
              <a:srgbClr val="0F9AA9"/>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250kW'!$D$98:$M$98</c:f>
              <c:numCache>
                <c:formatCode>0%</c:formatCode>
                <c:ptCount val="10"/>
                <c:pt idx="0">
                  <c:v>1.299499445453184E-2</c:v>
                </c:pt>
                <c:pt idx="1">
                  <c:v>3.8541152834509085E-3</c:v>
                </c:pt>
                <c:pt idx="2">
                  <c:v>9.3501579401829536E-3</c:v>
                </c:pt>
                <c:pt idx="3">
                  <c:v>9.4301408584274125E-3</c:v>
                </c:pt>
                <c:pt idx="4">
                  <c:v>9.4030546310336811E-3</c:v>
                </c:pt>
                <c:pt idx="5">
                  <c:v>9.1791442667017876E-3</c:v>
                </c:pt>
                <c:pt idx="6">
                  <c:v>1.2980922755408013E-2</c:v>
                </c:pt>
                <c:pt idx="7">
                  <c:v>2.6425615271013756E-2</c:v>
                </c:pt>
                <c:pt idx="9">
                  <c:v>6.9901308375123466E-3</c:v>
                </c:pt>
              </c:numCache>
            </c:numRef>
          </c:val>
          <c:extLst>
            <c:ext xmlns:c16="http://schemas.microsoft.com/office/drawing/2014/chart" uri="{C3380CC4-5D6E-409C-BE32-E72D297353CC}">
              <c16:uniqueId val="{00000005-AEDB-432E-A41B-5A88B223F879}"/>
            </c:ext>
          </c:extLst>
        </c:ser>
        <c:ser>
          <c:idx val="6"/>
          <c:order val="6"/>
          <c:tx>
            <c:strRef>
              <c:f>'WOS nephrops under 250kW'!$C$99</c:f>
              <c:strCache>
                <c:ptCount val="1"/>
                <c:pt idx="0">
                  <c:v>Anglerfish</c:v>
                </c:pt>
              </c:strCache>
            </c:strRef>
          </c:tx>
          <c:spPr>
            <a:solidFill>
              <a:srgbClr val="FED825"/>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250kW'!$D$99:$M$99</c:f>
              <c:numCache>
                <c:formatCode>0%</c:formatCode>
                <c:ptCount val="10"/>
                <c:pt idx="1">
                  <c:v>4.6151376590610263E-3</c:v>
                </c:pt>
                <c:pt idx="2">
                  <c:v>3.5332638565793708E-3</c:v>
                </c:pt>
                <c:pt idx="3">
                  <c:v>2.4652995102490125E-3</c:v>
                </c:pt>
                <c:pt idx="4">
                  <c:v>2.9927061524866231E-3</c:v>
                </c:pt>
                <c:pt idx="5">
                  <c:v>5.1005529324523891E-3</c:v>
                </c:pt>
                <c:pt idx="6">
                  <c:v>4.1775407142161467E-3</c:v>
                </c:pt>
                <c:pt idx="7">
                  <c:v>3.1647886059619186E-3</c:v>
                </c:pt>
              </c:numCache>
            </c:numRef>
          </c:val>
          <c:extLst>
            <c:ext xmlns:c16="http://schemas.microsoft.com/office/drawing/2014/chart" uri="{C3380CC4-5D6E-409C-BE32-E72D297353CC}">
              <c16:uniqueId val="{00000006-AEDB-432E-A41B-5A88B223F879}"/>
            </c:ext>
          </c:extLst>
        </c:ser>
        <c:ser>
          <c:idx val="7"/>
          <c:order val="7"/>
          <c:tx>
            <c:strRef>
              <c:f>'WOS nephrops under 250kW'!$C$100</c:f>
              <c:strCache>
                <c:ptCount val="1"/>
                <c:pt idx="0">
                  <c:v>Whiting</c:v>
                </c:pt>
              </c:strCache>
            </c:strRef>
          </c:tx>
          <c:spPr>
            <a:solidFill>
              <a:srgbClr val="707271"/>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250kW'!$D$100:$M$100</c:f>
              <c:numCache>
                <c:formatCode>0%</c:formatCode>
                <c:ptCount val="10"/>
                <c:pt idx="6">
                  <c:v>5.3353492931610064E-3</c:v>
                </c:pt>
              </c:numCache>
            </c:numRef>
          </c:val>
          <c:extLst>
            <c:ext xmlns:c16="http://schemas.microsoft.com/office/drawing/2014/chart" uri="{C3380CC4-5D6E-409C-BE32-E72D297353CC}">
              <c16:uniqueId val="{00000007-AEDB-432E-A41B-5A88B223F879}"/>
            </c:ext>
          </c:extLst>
        </c:ser>
        <c:ser>
          <c:idx val="8"/>
          <c:order val="8"/>
          <c:tx>
            <c:strRef>
              <c:f>'WOS nephrops under 250kW'!$C$101</c:f>
              <c:strCache>
                <c:ptCount val="1"/>
                <c:pt idx="0">
                  <c:v>Megrim</c:v>
                </c:pt>
              </c:strCache>
            </c:strRef>
          </c:tx>
          <c:spPr>
            <a:solidFill>
              <a:srgbClr val="51AA81"/>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250kW'!$D$101:$M$101</c:f>
              <c:numCache>
                <c:formatCode>0%</c:formatCode>
                <c:ptCount val="10"/>
                <c:pt idx="1">
                  <c:v>2.12054132636767E-3</c:v>
                </c:pt>
              </c:numCache>
            </c:numRef>
          </c:val>
          <c:extLst>
            <c:ext xmlns:c16="http://schemas.microsoft.com/office/drawing/2014/chart" uri="{C3380CC4-5D6E-409C-BE32-E72D297353CC}">
              <c16:uniqueId val="{00000008-AEDB-432E-A41B-5A88B223F879}"/>
            </c:ext>
          </c:extLst>
        </c:ser>
        <c:ser>
          <c:idx val="9"/>
          <c:order val="9"/>
          <c:tx>
            <c:strRef>
              <c:f>'WOS nephrops under 250kW'!$C$102</c:f>
              <c:strCache>
                <c:ptCount val="1"/>
                <c:pt idx="0">
                  <c:v>Razor Clam</c:v>
                </c:pt>
              </c:strCache>
            </c:strRef>
          </c:tx>
          <c:spPr>
            <a:solidFill>
              <a:srgbClr val="169FDB"/>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250kW'!$D$102:$M$102</c:f>
              <c:numCache>
                <c:formatCode>0%</c:formatCode>
                <c:ptCount val="10"/>
                <c:pt idx="0">
                  <c:v>5.2567045762981542E-3</c:v>
                </c:pt>
              </c:numCache>
            </c:numRef>
          </c:val>
          <c:extLst>
            <c:ext xmlns:c16="http://schemas.microsoft.com/office/drawing/2014/chart" uri="{C3380CC4-5D6E-409C-BE32-E72D297353CC}">
              <c16:uniqueId val="{00000009-AEDB-432E-A41B-5A88B223F879}"/>
            </c:ext>
          </c:extLst>
        </c:ser>
        <c:ser>
          <c:idx val="10"/>
          <c:order val="10"/>
          <c:tx>
            <c:strRef>
              <c:f>'WOS nephrops under 250kW'!$C$103</c:f>
              <c:strCache>
                <c:ptCount val="1"/>
                <c:pt idx="0">
                  <c:v>Others</c:v>
                </c:pt>
              </c:strCache>
            </c:strRef>
          </c:tx>
          <c:spPr>
            <a:solidFill>
              <a:srgbClr val="55585A"/>
            </a:solidFill>
            <a:ln>
              <a:solidFill>
                <a:srgbClr val="FFFFFF"/>
              </a:solidFill>
            </a:ln>
          </c:spPr>
          <c:invertIfNegative val="0"/>
          <c:cat>
            <c:numRef>
              <c:f>'WOS nephrops under 250kW'!$D$92:$M$92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'WOS nephrops under 250kW'!$D$103:$M$103</c:f>
              <c:numCache>
                <c:formatCode>0%</c:formatCode>
                <c:ptCount val="10"/>
                <c:pt idx="0">
                  <c:v>1.4031039120119052E-2</c:v>
                </c:pt>
                <c:pt idx="1">
                  <c:v>9.6063738251845401E-3</c:v>
                </c:pt>
                <c:pt idx="2">
                  <c:v>5.2130034429170719E-3</c:v>
                </c:pt>
                <c:pt idx="3">
                  <c:v>4.8798965167765451E-3</c:v>
                </c:pt>
                <c:pt idx="4">
                  <c:v>5.8922578177428705E-3</c:v>
                </c:pt>
                <c:pt idx="5">
                  <c:v>5.2713623061134782E-3</c:v>
                </c:pt>
                <c:pt idx="6">
                  <c:v>9.0661908429018733E-3</c:v>
                </c:pt>
                <c:pt idx="7">
                  <c:v>6.1938999362960816E-3</c:v>
                </c:pt>
                <c:pt idx="8">
                  <c:v>4.071334103075178E-3</c:v>
                </c:pt>
                <c:pt idx="9">
                  <c:v>2.5137907284756601E-3</c:v>
                </c:pt>
              </c:numCache>
            </c:numRef>
          </c:val>
          <c:extLst>
            <c:ext xmlns:c16="http://schemas.microsoft.com/office/drawing/2014/chart" uri="{C3380CC4-5D6E-409C-BE32-E72D297353CC}">
              <c16:uniqueId val="{0000000A-AEDB-432E-A41B-5A88B223F879}"/>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under 250kW'!$B$163</c:f>
              <c:strCache>
                <c:ptCount val="1"/>
                <c:pt idx="0">
                  <c:v>Nephrops</c:v>
                </c:pt>
              </c:strCache>
            </c:strRef>
          </c:tx>
          <c:spPr>
            <a:solidFill>
              <a:srgbClr val="2273B9"/>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250kW'!$C$163:$E$163</c:f>
              <c:numCache>
                <c:formatCode>0%</c:formatCode>
                <c:ptCount val="3"/>
                <c:pt idx="0">
                  <c:v>0.99203630263260678</c:v>
                </c:pt>
                <c:pt idx="1">
                  <c:v>0.94111208080448605</c:v>
                </c:pt>
                <c:pt idx="2">
                  <c:v>0.97439375689993779</c:v>
                </c:pt>
              </c:numCache>
            </c:numRef>
          </c:val>
          <c:extLst>
            <c:ext xmlns:c16="http://schemas.microsoft.com/office/drawing/2014/chart" uri="{C3380CC4-5D6E-409C-BE32-E72D297353CC}">
              <c16:uniqueId val="{00000000-5266-45B4-9B5B-9672C460DFB5}"/>
            </c:ext>
          </c:extLst>
        </c:ser>
        <c:ser>
          <c:idx val="1"/>
          <c:order val="1"/>
          <c:tx>
            <c:strRef>
              <c:f>'WOS nephrops under 250kW'!$B$164</c:f>
              <c:strCache>
                <c:ptCount val="1"/>
                <c:pt idx="0">
                  <c:v>Queen Scallops</c:v>
                </c:pt>
              </c:strCache>
            </c:strRef>
          </c:tx>
          <c:spPr>
            <a:solidFill>
              <a:srgbClr val="648C2E"/>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250kW'!$C$164:$E$164</c:f>
              <c:numCache>
                <c:formatCode>0%</c:formatCode>
                <c:ptCount val="3"/>
                <c:pt idx="0">
                  <c:v>0</c:v>
                </c:pt>
                <c:pt idx="1">
                  <c:v>4.0340623344872276E-2</c:v>
                </c:pt>
                <c:pt idx="2">
                  <c:v>0</c:v>
                </c:pt>
              </c:numCache>
            </c:numRef>
          </c:val>
          <c:extLst>
            <c:ext xmlns:c16="http://schemas.microsoft.com/office/drawing/2014/chart" uri="{C3380CC4-5D6E-409C-BE32-E72D297353CC}">
              <c16:uniqueId val="{00000001-5266-45B4-9B5B-9672C460DFB5}"/>
            </c:ext>
          </c:extLst>
        </c:ser>
        <c:ser>
          <c:idx val="2"/>
          <c:order val="2"/>
          <c:tx>
            <c:strRef>
              <c:f>'WOS nephrops under 250kW'!$B$165</c:f>
              <c:strCache>
                <c:ptCount val="1"/>
                <c:pt idx="0">
                  <c:v>Squid</c:v>
                </c:pt>
              </c:strCache>
            </c:strRef>
          </c:tx>
          <c:spPr>
            <a:solidFill>
              <a:srgbClr val="E87308"/>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250kW'!$C$165:$E$165</c:f>
              <c:numCache>
                <c:formatCode>0%</c:formatCode>
                <c:ptCount val="3"/>
                <c:pt idx="0">
                  <c:v>0</c:v>
                </c:pt>
                <c:pt idx="1">
                  <c:v>9.6439809966071162E-3</c:v>
                </c:pt>
                <c:pt idx="2">
                  <c:v>0</c:v>
                </c:pt>
              </c:numCache>
            </c:numRef>
          </c:val>
          <c:extLst>
            <c:ext xmlns:c16="http://schemas.microsoft.com/office/drawing/2014/chart" uri="{C3380CC4-5D6E-409C-BE32-E72D297353CC}">
              <c16:uniqueId val="{00000002-5266-45B4-9B5B-9672C460DFB5}"/>
            </c:ext>
          </c:extLst>
        </c:ser>
        <c:ser>
          <c:idx val="3"/>
          <c:order val="3"/>
          <c:tx>
            <c:strRef>
              <c:f>'WOS nephrops under 250kW'!$B$166</c:f>
              <c:strCache>
                <c:ptCount val="1"/>
                <c:pt idx="0">
                  <c:v>Thornback Ray</c:v>
                </c:pt>
              </c:strCache>
            </c:strRef>
          </c:tx>
          <c:spPr>
            <a:solidFill>
              <a:srgbClr val="0F9AA9"/>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250kW'!$C$166:$E$166</c:f>
              <c:numCache>
                <c:formatCode>0%</c:formatCode>
                <c:ptCount val="3"/>
                <c:pt idx="0">
                  <c:v>0</c:v>
                </c:pt>
                <c:pt idx="1">
                  <c:v>2.4096758296897167E-3</c:v>
                </c:pt>
                <c:pt idx="2">
                  <c:v>0</c:v>
                </c:pt>
              </c:numCache>
            </c:numRef>
          </c:val>
          <c:extLst>
            <c:ext xmlns:c16="http://schemas.microsoft.com/office/drawing/2014/chart" uri="{C3380CC4-5D6E-409C-BE32-E72D297353CC}">
              <c16:uniqueId val="{00000003-5266-45B4-9B5B-9672C460DFB5}"/>
            </c:ext>
          </c:extLst>
        </c:ser>
        <c:ser>
          <c:idx val="4"/>
          <c:order val="4"/>
          <c:tx>
            <c:strRef>
              <c:f>'WOS nephrops under 250kW'!$B$167</c:f>
              <c:strCache>
                <c:ptCount val="1"/>
                <c:pt idx="0">
                  <c:v>Haddock</c:v>
                </c:pt>
              </c:strCache>
            </c:strRef>
          </c:tx>
          <c:spPr>
            <a:solidFill>
              <a:srgbClr val="E84A38"/>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250kW'!$C$167:$E$167</c:f>
              <c:numCache>
                <c:formatCode>0%</c:formatCode>
                <c:ptCount val="3"/>
                <c:pt idx="0">
                  <c:v>1.7796855703007288E-3</c:v>
                </c:pt>
                <c:pt idx="1">
                  <c:v>1.9639985291112056E-3</c:v>
                </c:pt>
                <c:pt idx="2">
                  <c:v>4.1651485563632415E-4</c:v>
                </c:pt>
              </c:numCache>
            </c:numRef>
          </c:val>
          <c:extLst>
            <c:ext xmlns:c16="http://schemas.microsoft.com/office/drawing/2014/chart" uri="{C3380CC4-5D6E-409C-BE32-E72D297353CC}">
              <c16:uniqueId val="{00000004-5266-45B4-9B5B-9672C460DFB5}"/>
            </c:ext>
          </c:extLst>
        </c:ser>
        <c:ser>
          <c:idx val="5"/>
          <c:order val="5"/>
          <c:tx>
            <c:strRef>
              <c:f>'WOS nephrops under 250kW'!$B$168</c:f>
              <c:strCache>
                <c:ptCount val="1"/>
                <c:pt idx="0">
                  <c:v>Brown Crab</c:v>
                </c:pt>
              </c:strCache>
            </c:strRef>
          </c:tx>
          <c:spPr>
            <a:solidFill>
              <a:srgbClr val="C1D119"/>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250kW'!$C$168:$E$168</c:f>
              <c:numCache>
                <c:formatCode>0%</c:formatCode>
                <c:ptCount val="3"/>
                <c:pt idx="0">
                  <c:v>0</c:v>
                </c:pt>
                <c:pt idx="1">
                  <c:v>0</c:v>
                </c:pt>
                <c:pt idx="2">
                  <c:v>2.4561072198107266E-2</c:v>
                </c:pt>
              </c:numCache>
            </c:numRef>
          </c:val>
          <c:extLst>
            <c:ext xmlns:c16="http://schemas.microsoft.com/office/drawing/2014/chart" uri="{C3380CC4-5D6E-409C-BE32-E72D297353CC}">
              <c16:uniqueId val="{00000005-5266-45B4-9B5B-9672C460DFB5}"/>
            </c:ext>
          </c:extLst>
        </c:ser>
        <c:ser>
          <c:idx val="6"/>
          <c:order val="6"/>
          <c:tx>
            <c:strRef>
              <c:f>'WOS nephrops under 250kW'!$B$169</c:f>
              <c:strCache>
                <c:ptCount val="1"/>
                <c:pt idx="0">
                  <c:v>Anglerfish</c:v>
                </c:pt>
              </c:strCache>
            </c:strRef>
          </c:tx>
          <c:spPr>
            <a:solidFill>
              <a:srgbClr val="FED825"/>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250kW'!$C$169:$E$169</c:f>
              <c:numCache>
                <c:formatCode>0%</c:formatCode>
                <c:ptCount val="3"/>
                <c:pt idx="0">
                  <c:v>0</c:v>
                </c:pt>
                <c:pt idx="1">
                  <c:v>0</c:v>
                </c:pt>
                <c:pt idx="2">
                  <c:v>2.3458401759654331E-4</c:v>
                </c:pt>
              </c:numCache>
            </c:numRef>
          </c:val>
          <c:extLst>
            <c:ext xmlns:c16="http://schemas.microsoft.com/office/drawing/2014/chart" uri="{C3380CC4-5D6E-409C-BE32-E72D297353CC}">
              <c16:uniqueId val="{00000006-5266-45B4-9B5B-9672C460DFB5}"/>
            </c:ext>
          </c:extLst>
        </c:ser>
        <c:ser>
          <c:idx val="7"/>
          <c:order val="7"/>
          <c:tx>
            <c:strRef>
              <c:f>'WOS nephrops under 250kW'!$B$170</c:f>
              <c:strCache>
                <c:ptCount val="1"/>
                <c:pt idx="0">
                  <c:v>Hake</c:v>
                </c:pt>
              </c:strCache>
            </c:strRef>
          </c:tx>
          <c:spPr>
            <a:solidFill>
              <a:srgbClr val="707271"/>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250kW'!$C$170:$E$170</c:f>
              <c:numCache>
                <c:formatCode>0%</c:formatCode>
                <c:ptCount val="3"/>
                <c:pt idx="0">
                  <c:v>1.4970263032289236E-3</c:v>
                </c:pt>
                <c:pt idx="1">
                  <c:v>0</c:v>
                </c:pt>
                <c:pt idx="2">
                  <c:v>1.9079871610176962E-4</c:v>
                </c:pt>
              </c:numCache>
            </c:numRef>
          </c:val>
          <c:extLst>
            <c:ext xmlns:c16="http://schemas.microsoft.com/office/drawing/2014/chart" uri="{C3380CC4-5D6E-409C-BE32-E72D297353CC}">
              <c16:uniqueId val="{00000007-5266-45B4-9B5B-9672C460DFB5}"/>
            </c:ext>
          </c:extLst>
        </c:ser>
        <c:ser>
          <c:idx val="8"/>
          <c:order val="8"/>
          <c:tx>
            <c:strRef>
              <c:f>'WOS nephrops under 250kW'!$B$171</c:f>
              <c:strCache>
                <c:ptCount val="1"/>
                <c:pt idx="0">
                  <c:v>Brown Shrimps</c:v>
                </c:pt>
              </c:strCache>
            </c:strRef>
          </c:tx>
          <c:spPr>
            <a:solidFill>
              <a:srgbClr val="51AA81"/>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250kW'!$C$171:$E$171</c:f>
              <c:numCache>
                <c:formatCode>0%</c:formatCode>
                <c:ptCount val="3"/>
                <c:pt idx="0">
                  <c:v>1.0776147883494052E-3</c:v>
                </c:pt>
                <c:pt idx="1">
                  <c:v>0</c:v>
                </c:pt>
                <c:pt idx="2">
                  <c:v>0</c:v>
                </c:pt>
              </c:numCache>
            </c:numRef>
          </c:val>
          <c:extLst>
            <c:ext xmlns:c16="http://schemas.microsoft.com/office/drawing/2014/chart" uri="{C3380CC4-5D6E-409C-BE32-E72D297353CC}">
              <c16:uniqueId val="{00000008-5266-45B4-9B5B-9672C460DFB5}"/>
            </c:ext>
          </c:extLst>
        </c:ser>
        <c:ser>
          <c:idx val="9"/>
          <c:order val="9"/>
          <c:tx>
            <c:strRef>
              <c:f>'WOS nephrops under 250kW'!$B$172</c:f>
              <c:strCache>
                <c:ptCount val="1"/>
                <c:pt idx="0">
                  <c:v>Les. Spot. Dog</c:v>
                </c:pt>
              </c:strCache>
            </c:strRef>
          </c:tx>
          <c:spPr>
            <a:solidFill>
              <a:srgbClr val="169FDB"/>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250kW'!$C$172:$E$172</c:f>
              <c:numCache>
                <c:formatCode>0%</c:formatCode>
                <c:ptCount val="3"/>
                <c:pt idx="0">
                  <c:v>8.2003624596940403E-4</c:v>
                </c:pt>
                <c:pt idx="1">
                  <c:v>0</c:v>
                </c:pt>
                <c:pt idx="2">
                  <c:v>0</c:v>
                </c:pt>
              </c:numCache>
            </c:numRef>
          </c:val>
          <c:extLst>
            <c:ext xmlns:c16="http://schemas.microsoft.com/office/drawing/2014/chart" uri="{C3380CC4-5D6E-409C-BE32-E72D297353CC}">
              <c16:uniqueId val="{00000009-5266-45B4-9B5B-9672C460DFB5}"/>
            </c:ext>
          </c:extLst>
        </c:ser>
        <c:ser>
          <c:idx val="10"/>
          <c:order val="10"/>
          <c:tx>
            <c:strRef>
              <c:f>'WOS nephrops under 250kW'!$B$173</c:f>
              <c:strCache>
                <c:ptCount val="1"/>
                <c:pt idx="0">
                  <c:v>Others</c:v>
                </c:pt>
              </c:strCache>
            </c:strRef>
          </c:tx>
          <c:spPr>
            <a:solidFill>
              <a:srgbClr val="55585A"/>
            </a:solidFill>
            <a:ln>
              <a:solidFill>
                <a:srgbClr val="FFFFFF"/>
              </a:solidFill>
            </a:ln>
          </c:spPr>
          <c:invertIfNegative val="0"/>
          <c:cat>
            <c:strRef>
              <c:f>'WOS nephrops under 250kW'!$C$162:$E$162</c:f>
              <c:strCache>
                <c:ptCount val="3"/>
                <c:pt idx="0">
                  <c:v>Most
profitable
quartile</c:v>
                </c:pt>
                <c:pt idx="1">
                  <c:v>Middle 
two quartiles</c:v>
                </c:pt>
                <c:pt idx="2">
                  <c:v>Least
profitable
quartile</c:v>
                </c:pt>
              </c:strCache>
            </c:strRef>
          </c:cat>
          <c:val>
            <c:numRef>
              <c:f>'WOS nephrops under 250kW'!$C$173:$E$173</c:f>
              <c:numCache>
                <c:formatCode>0%</c:formatCode>
                <c:ptCount val="3"/>
                <c:pt idx="0">
                  <c:v>2.7893344595447678E-3</c:v>
                </c:pt>
                <c:pt idx="1">
                  <c:v>4.5296404952335223E-3</c:v>
                </c:pt>
                <c:pt idx="2">
                  <c:v>2.0327331262037784E-4</c:v>
                </c:pt>
              </c:numCache>
            </c:numRef>
          </c:val>
          <c:extLst>
            <c:ext xmlns:c16="http://schemas.microsoft.com/office/drawing/2014/chart" uri="{C3380CC4-5D6E-409C-BE32-E72D297353CC}">
              <c16:uniqueId val="{0000000A-5266-45B4-9B5B-9672C460DFB5}"/>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under 250kW'!$H$163</c:f>
              <c:strCache>
                <c:ptCount val="1"/>
                <c:pt idx="0">
                  <c:v>Nephrops</c:v>
                </c:pt>
              </c:strCache>
            </c:strRef>
          </c:tx>
          <c:spPr>
            <a:solidFill>
              <a:srgbClr val="2273B9"/>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250kW'!$I$163:$K$163</c:f>
              <c:numCache>
                <c:formatCode>0%</c:formatCode>
                <c:ptCount val="3"/>
                <c:pt idx="0">
                  <c:v>0.99365138501505346</c:v>
                </c:pt>
                <c:pt idx="1">
                  <c:v>0.96552233393713993</c:v>
                </c:pt>
                <c:pt idx="2">
                  <c:v>0.97337281752370042</c:v>
                </c:pt>
              </c:numCache>
            </c:numRef>
          </c:val>
          <c:extLst>
            <c:ext xmlns:c16="http://schemas.microsoft.com/office/drawing/2014/chart" uri="{C3380CC4-5D6E-409C-BE32-E72D297353CC}">
              <c16:uniqueId val="{00000000-C406-4EE0-A7F9-595040897DDF}"/>
            </c:ext>
          </c:extLst>
        </c:ser>
        <c:ser>
          <c:idx val="1"/>
          <c:order val="1"/>
          <c:tx>
            <c:strRef>
              <c:f>'WOS nephrops under 250kW'!$H$164</c:f>
              <c:strCache>
                <c:ptCount val="1"/>
                <c:pt idx="0">
                  <c:v>Squid</c:v>
                </c:pt>
              </c:strCache>
            </c:strRef>
          </c:tx>
          <c:spPr>
            <a:solidFill>
              <a:srgbClr val="E87308"/>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250kW'!$I$164:$K$164</c:f>
              <c:numCache>
                <c:formatCode>0%</c:formatCode>
                <c:ptCount val="3"/>
                <c:pt idx="0">
                  <c:v>0</c:v>
                </c:pt>
                <c:pt idx="1">
                  <c:v>1.7646227212477297E-2</c:v>
                </c:pt>
                <c:pt idx="2">
                  <c:v>0</c:v>
                </c:pt>
              </c:numCache>
            </c:numRef>
          </c:val>
          <c:extLst>
            <c:ext xmlns:c16="http://schemas.microsoft.com/office/drawing/2014/chart" uri="{C3380CC4-5D6E-409C-BE32-E72D297353CC}">
              <c16:uniqueId val="{00000001-C406-4EE0-A7F9-595040897DDF}"/>
            </c:ext>
          </c:extLst>
        </c:ser>
        <c:ser>
          <c:idx val="2"/>
          <c:order val="2"/>
          <c:tx>
            <c:strRef>
              <c:f>'WOS nephrops under 250kW'!$H$165</c:f>
              <c:strCache>
                <c:ptCount val="1"/>
                <c:pt idx="0">
                  <c:v>Queen Scallops</c:v>
                </c:pt>
              </c:strCache>
            </c:strRef>
          </c:tx>
          <c:spPr>
            <a:solidFill>
              <a:srgbClr val="648C2E"/>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250kW'!$I$165:$K$165</c:f>
              <c:numCache>
                <c:formatCode>0%</c:formatCode>
                <c:ptCount val="3"/>
                <c:pt idx="0">
                  <c:v>0</c:v>
                </c:pt>
                <c:pt idx="1">
                  <c:v>1.2035107171596731E-2</c:v>
                </c:pt>
                <c:pt idx="2">
                  <c:v>0</c:v>
                </c:pt>
              </c:numCache>
            </c:numRef>
          </c:val>
          <c:extLst>
            <c:ext xmlns:c16="http://schemas.microsoft.com/office/drawing/2014/chart" uri="{C3380CC4-5D6E-409C-BE32-E72D297353CC}">
              <c16:uniqueId val="{00000002-C406-4EE0-A7F9-595040897DDF}"/>
            </c:ext>
          </c:extLst>
        </c:ser>
        <c:ser>
          <c:idx val="3"/>
          <c:order val="3"/>
          <c:tx>
            <c:strRef>
              <c:f>'WOS nephrops under 250kW'!$H$166</c:f>
              <c:strCache>
                <c:ptCount val="1"/>
                <c:pt idx="0">
                  <c:v>Anglerfish</c:v>
                </c:pt>
              </c:strCache>
            </c:strRef>
          </c:tx>
          <c:spPr>
            <a:solidFill>
              <a:srgbClr val="FED825"/>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250kW'!$I$166:$K$166</c:f>
              <c:numCache>
                <c:formatCode>0%</c:formatCode>
                <c:ptCount val="3"/>
                <c:pt idx="0">
                  <c:v>0</c:v>
                </c:pt>
                <c:pt idx="1">
                  <c:v>1.1581338942540499E-3</c:v>
                </c:pt>
                <c:pt idx="2">
                  <c:v>1.4669700988364709E-4</c:v>
                </c:pt>
              </c:numCache>
            </c:numRef>
          </c:val>
          <c:extLst>
            <c:ext xmlns:c16="http://schemas.microsoft.com/office/drawing/2014/chart" uri="{C3380CC4-5D6E-409C-BE32-E72D297353CC}">
              <c16:uniqueId val="{00000003-C406-4EE0-A7F9-595040897DDF}"/>
            </c:ext>
          </c:extLst>
        </c:ser>
        <c:ser>
          <c:idx val="4"/>
          <c:order val="4"/>
          <c:tx>
            <c:strRef>
              <c:f>'WOS nephrops under 250kW'!$H$167</c:f>
              <c:strCache>
                <c:ptCount val="1"/>
                <c:pt idx="0">
                  <c:v>Haddock</c:v>
                </c:pt>
              </c:strCache>
            </c:strRef>
          </c:tx>
          <c:spPr>
            <a:solidFill>
              <a:srgbClr val="E84A38"/>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250kW'!$I$167:$K$167</c:f>
              <c:numCache>
                <c:formatCode>0%</c:formatCode>
                <c:ptCount val="3"/>
                <c:pt idx="0">
                  <c:v>8.8732148453626414E-4</c:v>
                </c:pt>
                <c:pt idx="1">
                  <c:v>9.2872070766612813E-4</c:v>
                </c:pt>
                <c:pt idx="2">
                  <c:v>2.2348254897271117E-4</c:v>
                </c:pt>
              </c:numCache>
            </c:numRef>
          </c:val>
          <c:extLst>
            <c:ext xmlns:c16="http://schemas.microsoft.com/office/drawing/2014/chart" uri="{C3380CC4-5D6E-409C-BE32-E72D297353CC}">
              <c16:uniqueId val="{00000004-C406-4EE0-A7F9-595040897DDF}"/>
            </c:ext>
          </c:extLst>
        </c:ser>
        <c:ser>
          <c:idx val="5"/>
          <c:order val="5"/>
          <c:tx>
            <c:strRef>
              <c:f>'WOS nephrops under 250kW'!$H$168</c:f>
              <c:strCache>
                <c:ptCount val="1"/>
                <c:pt idx="0">
                  <c:v>Brown Crab</c:v>
                </c:pt>
              </c:strCache>
            </c:strRef>
          </c:tx>
          <c:spPr>
            <a:solidFill>
              <a:srgbClr val="C1D119"/>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250kW'!$I$168:$K$168</c:f>
              <c:numCache>
                <c:formatCode>0%</c:formatCode>
                <c:ptCount val="3"/>
                <c:pt idx="0">
                  <c:v>0</c:v>
                </c:pt>
                <c:pt idx="1">
                  <c:v>0</c:v>
                </c:pt>
                <c:pt idx="2">
                  <c:v>2.6038457100454167E-2</c:v>
                </c:pt>
              </c:numCache>
            </c:numRef>
          </c:val>
          <c:extLst>
            <c:ext xmlns:c16="http://schemas.microsoft.com/office/drawing/2014/chart" uri="{C3380CC4-5D6E-409C-BE32-E72D297353CC}">
              <c16:uniqueId val="{00000005-C406-4EE0-A7F9-595040897DDF}"/>
            </c:ext>
          </c:extLst>
        </c:ser>
        <c:ser>
          <c:idx val="6"/>
          <c:order val="6"/>
          <c:tx>
            <c:strRef>
              <c:f>'WOS nephrops under 250kW'!$H$169</c:f>
              <c:strCache>
                <c:ptCount val="1"/>
                <c:pt idx="0">
                  <c:v>Hake</c:v>
                </c:pt>
              </c:strCache>
            </c:strRef>
          </c:tx>
          <c:spPr>
            <a:solidFill>
              <a:srgbClr val="707271"/>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250kW'!$I$169:$K$169</c:f>
              <c:numCache>
                <c:formatCode>0%</c:formatCode>
                <c:ptCount val="3"/>
                <c:pt idx="0">
                  <c:v>2.0986600193933281E-3</c:v>
                </c:pt>
                <c:pt idx="1">
                  <c:v>0</c:v>
                </c:pt>
                <c:pt idx="2">
                  <c:v>8.5864667608234269E-5</c:v>
                </c:pt>
              </c:numCache>
            </c:numRef>
          </c:val>
          <c:extLst>
            <c:ext xmlns:c16="http://schemas.microsoft.com/office/drawing/2014/chart" uri="{C3380CC4-5D6E-409C-BE32-E72D297353CC}">
              <c16:uniqueId val="{00000006-C406-4EE0-A7F9-595040897DDF}"/>
            </c:ext>
          </c:extLst>
        </c:ser>
        <c:ser>
          <c:idx val="7"/>
          <c:order val="7"/>
          <c:tx>
            <c:strRef>
              <c:f>'WOS nephrops under 250kW'!$H$170</c:f>
              <c:strCache>
                <c:ptCount val="1"/>
                <c:pt idx="0">
                  <c:v>Brown Shrimps</c:v>
                </c:pt>
              </c:strCache>
            </c:strRef>
          </c:tx>
          <c:spPr>
            <a:solidFill>
              <a:srgbClr val="51AA81"/>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250kW'!$I$170:$K$170</c:f>
              <c:numCache>
                <c:formatCode>0%</c:formatCode>
                <c:ptCount val="3"/>
                <c:pt idx="0">
                  <c:v>1.4925997885521611E-3</c:v>
                </c:pt>
                <c:pt idx="1">
                  <c:v>0</c:v>
                </c:pt>
                <c:pt idx="2">
                  <c:v>0</c:v>
                </c:pt>
              </c:numCache>
            </c:numRef>
          </c:val>
          <c:extLst>
            <c:ext xmlns:c16="http://schemas.microsoft.com/office/drawing/2014/chart" uri="{C3380CC4-5D6E-409C-BE32-E72D297353CC}">
              <c16:uniqueId val="{00000007-C406-4EE0-A7F9-595040897DDF}"/>
            </c:ext>
          </c:extLst>
        </c:ser>
        <c:ser>
          <c:idx val="8"/>
          <c:order val="8"/>
          <c:tx>
            <c:strRef>
              <c:f>'WOS nephrops under 250kW'!$H$171</c:f>
              <c:strCache>
                <c:ptCount val="1"/>
                <c:pt idx="0">
                  <c:v>Cod</c:v>
                </c:pt>
              </c:strCache>
            </c:strRef>
          </c:tx>
          <c:spPr>
            <a:solidFill>
              <a:srgbClr val="E40D2C"/>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250kW'!$I$171:$K$171</c:f>
              <c:numCache>
                <c:formatCode>0%</c:formatCode>
                <c:ptCount val="3"/>
                <c:pt idx="0">
                  <c:v>7.8346704147154412E-4</c:v>
                </c:pt>
                <c:pt idx="1">
                  <c:v>0</c:v>
                </c:pt>
                <c:pt idx="2">
                  <c:v>0</c:v>
                </c:pt>
              </c:numCache>
            </c:numRef>
          </c:val>
          <c:extLst>
            <c:ext xmlns:c16="http://schemas.microsoft.com/office/drawing/2014/chart" uri="{C3380CC4-5D6E-409C-BE32-E72D297353CC}">
              <c16:uniqueId val="{00000008-C406-4EE0-A7F9-595040897DDF}"/>
            </c:ext>
          </c:extLst>
        </c:ser>
        <c:ser>
          <c:idx val="9"/>
          <c:order val="9"/>
          <c:tx>
            <c:strRef>
              <c:f>'WOS nephrops under 250kW'!$H$172</c:f>
              <c:strCache>
                <c:ptCount val="1"/>
                <c:pt idx="0">
                  <c:v>Others</c:v>
                </c:pt>
              </c:strCache>
            </c:strRef>
          </c:tx>
          <c:spPr>
            <a:solidFill>
              <a:srgbClr val="55585A"/>
            </a:solidFill>
            <a:ln>
              <a:solidFill>
                <a:srgbClr val="FFFFFF"/>
              </a:solidFill>
            </a:ln>
          </c:spPr>
          <c:invertIfNegative val="0"/>
          <c:cat>
            <c:strRef>
              <c:f>'WOS nephrops under 250kW'!$I$162:$K$162</c:f>
              <c:strCache>
                <c:ptCount val="3"/>
                <c:pt idx="0">
                  <c:v>Most
profitable
quartile</c:v>
                </c:pt>
                <c:pt idx="1">
                  <c:v>Middle 
two quartiles</c:v>
                </c:pt>
                <c:pt idx="2">
                  <c:v>Least
profitable
quartile</c:v>
                </c:pt>
              </c:strCache>
            </c:strRef>
          </c:cat>
          <c:val>
            <c:numRef>
              <c:f>'WOS nephrops under 250kW'!$I$172:$K$172</c:f>
              <c:numCache>
                <c:formatCode>0%</c:formatCode>
                <c:ptCount val="3"/>
                <c:pt idx="0">
                  <c:v>1.0865666509931593E-3</c:v>
                </c:pt>
                <c:pt idx="1">
                  <c:v>2.7094770768658627E-3</c:v>
                </c:pt>
                <c:pt idx="2">
                  <c:v>1.3268114938080888E-4</c:v>
                </c:pt>
              </c:numCache>
            </c:numRef>
          </c:val>
          <c:extLst>
            <c:ext xmlns:c16="http://schemas.microsoft.com/office/drawing/2014/chart" uri="{C3380CC4-5D6E-409C-BE32-E72D297353CC}">
              <c16:uniqueId val="{00000009-C406-4EE0-A7F9-595040897DDF}"/>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u250kW'!$K$140</c:f>
              <c:strCache>
                <c:ptCount val="1"/>
                <c:pt idx="0">
                  <c:v>Total income</c:v>
                </c:pt>
              </c:strCache>
            </c:strRef>
          </c:tx>
          <c:spPr>
            <a:solidFill>
              <a:srgbClr val="087CBB"/>
            </a:solidFill>
            <a:ln>
              <a:solidFill>
                <a:schemeClr val="accent1"/>
              </a:solidFill>
            </a:ln>
          </c:spPr>
          <c:invertIfNegative val="0"/>
          <c:cat>
            <c:strRef>
              <c:f>'Area VIIa nephrops u250kW'!$L$139:$N$139</c:f>
              <c:strCache>
                <c:ptCount val="3"/>
                <c:pt idx="0">
                  <c:v>Most
profitable
quartile</c:v>
                </c:pt>
                <c:pt idx="1">
                  <c:v>Middle
two quartiles</c:v>
                </c:pt>
                <c:pt idx="2">
                  <c:v>Least
profitable
quartile</c:v>
                </c:pt>
              </c:strCache>
            </c:strRef>
          </c:cat>
          <c:val>
            <c:numRef>
              <c:f>'Area VIIa nephrops u250kW'!$L$140:$N$140</c:f>
              <c:numCache>
                <c:formatCode>#,##0</c:formatCode>
                <c:ptCount val="3"/>
                <c:pt idx="0">
                  <c:v>238.34446875</c:v>
                </c:pt>
                <c:pt idx="1">
                  <c:v>157.17859375</c:v>
                </c:pt>
                <c:pt idx="2">
                  <c:v>65.107945312499993</c:v>
                </c:pt>
              </c:numCache>
            </c:numRef>
          </c:val>
          <c:extLst>
            <c:ext xmlns:c16="http://schemas.microsoft.com/office/drawing/2014/chart" uri="{C3380CC4-5D6E-409C-BE32-E72D297353CC}">
              <c16:uniqueId val="{00000000-308C-4584-83A0-0BB919910C5B}"/>
            </c:ext>
          </c:extLst>
        </c:ser>
        <c:ser>
          <c:idx val="1"/>
          <c:order val="1"/>
          <c:tx>
            <c:strRef>
              <c:f>'Area VIIa nephrops u250kW'!$K$141</c:f>
              <c:strCache>
                <c:ptCount val="1"/>
                <c:pt idx="0">
                  <c:v>Operating costs</c:v>
                </c:pt>
              </c:strCache>
            </c:strRef>
          </c:tx>
          <c:spPr>
            <a:solidFill>
              <a:srgbClr val="E87308"/>
            </a:solidFill>
          </c:spPr>
          <c:invertIfNegative val="0"/>
          <c:cat>
            <c:strRef>
              <c:f>'Area VIIa nephrops u250kW'!$L$139:$N$139</c:f>
              <c:strCache>
                <c:ptCount val="3"/>
                <c:pt idx="0">
                  <c:v>Most
profitable
quartile</c:v>
                </c:pt>
                <c:pt idx="1">
                  <c:v>Middle
two quartiles</c:v>
                </c:pt>
                <c:pt idx="2">
                  <c:v>Least
profitable
quartile</c:v>
                </c:pt>
              </c:strCache>
            </c:strRef>
          </c:cat>
          <c:val>
            <c:numRef>
              <c:f>'Area VIIa nephrops u250kW'!$L$141:$N$141</c:f>
              <c:numCache>
                <c:formatCode>#,##0</c:formatCode>
                <c:ptCount val="3"/>
                <c:pt idx="0">
                  <c:v>171.44760937500001</c:v>
                </c:pt>
                <c:pt idx="1">
                  <c:v>124.46350390625</c:v>
                </c:pt>
                <c:pt idx="2">
                  <c:v>56.751058593750003</c:v>
                </c:pt>
              </c:numCache>
            </c:numRef>
          </c:val>
          <c:extLst>
            <c:ext xmlns:c16="http://schemas.microsoft.com/office/drawing/2014/chart" uri="{C3380CC4-5D6E-409C-BE32-E72D297353CC}">
              <c16:uniqueId val="{00000001-308C-4584-83A0-0BB919910C5B}"/>
            </c:ext>
          </c:extLst>
        </c:ser>
        <c:ser>
          <c:idx val="2"/>
          <c:order val="2"/>
          <c:tx>
            <c:strRef>
              <c:f>'Area VIIa nephrops u250kW'!$K$142</c:f>
              <c:strCache>
                <c:ptCount val="1"/>
                <c:pt idx="0">
                  <c:v>Operating profit</c:v>
                </c:pt>
              </c:strCache>
            </c:strRef>
          </c:tx>
          <c:spPr>
            <a:solidFill>
              <a:srgbClr val="51AA81"/>
            </a:solidFill>
          </c:spPr>
          <c:invertIfNegative val="0"/>
          <c:cat>
            <c:strRef>
              <c:f>'Area VIIa nephrops u250kW'!$L$139:$N$139</c:f>
              <c:strCache>
                <c:ptCount val="3"/>
                <c:pt idx="0">
                  <c:v>Most
profitable
quartile</c:v>
                </c:pt>
                <c:pt idx="1">
                  <c:v>Middle
two quartiles</c:v>
                </c:pt>
                <c:pt idx="2">
                  <c:v>Least
profitable
quartile</c:v>
                </c:pt>
              </c:strCache>
            </c:strRef>
          </c:cat>
          <c:val>
            <c:numRef>
              <c:f>'Area VIIa nephrops u250kW'!$L$142:$N$142</c:f>
              <c:numCache>
                <c:formatCode>#,##0</c:formatCode>
                <c:ptCount val="3"/>
                <c:pt idx="0">
                  <c:v>66.896859375000005</c:v>
                </c:pt>
                <c:pt idx="1">
                  <c:v>32.71508984375</c:v>
                </c:pt>
                <c:pt idx="2">
                  <c:v>8.3568867187499993</c:v>
                </c:pt>
              </c:numCache>
            </c:numRef>
          </c:val>
          <c:extLst>
            <c:ext xmlns:c16="http://schemas.microsoft.com/office/drawing/2014/chart" uri="{C3380CC4-5D6E-409C-BE32-E72D297353CC}">
              <c16:uniqueId val="{00000002-308C-4584-83A0-0BB919910C5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nephrops u250kW'!$K$143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under 250kW'!$K$140</c:f>
              <c:strCache>
                <c:ptCount val="1"/>
                <c:pt idx="0">
                  <c:v>Total income</c:v>
                </c:pt>
              </c:strCache>
            </c:strRef>
          </c:tx>
          <c:spPr>
            <a:solidFill>
              <a:srgbClr val="087CBB"/>
            </a:solidFill>
            <a:ln>
              <a:solidFill>
                <a:schemeClr val="accent1"/>
              </a:solidFill>
            </a:ln>
          </c:spPr>
          <c:invertIfNegative val="0"/>
          <c:cat>
            <c:strRef>
              <c:f>'WOS nephrops under 250kW'!$L$139:$N$139</c:f>
              <c:strCache>
                <c:ptCount val="3"/>
                <c:pt idx="0">
                  <c:v>Most
profitable
quartile</c:v>
                </c:pt>
                <c:pt idx="1">
                  <c:v>Middle
two quartiles</c:v>
                </c:pt>
                <c:pt idx="2">
                  <c:v>Least
profitable
quartile</c:v>
                </c:pt>
              </c:strCache>
            </c:strRef>
          </c:cat>
          <c:val>
            <c:numRef>
              <c:f>'WOS nephrops under 250kW'!$L$140:$N$140</c:f>
              <c:numCache>
                <c:formatCode>#,##0</c:formatCode>
                <c:ptCount val="3"/>
                <c:pt idx="0">
                  <c:v>206.56359375</c:v>
                </c:pt>
                <c:pt idx="1">
                  <c:v>199.63335590277799</c:v>
                </c:pt>
                <c:pt idx="2">
                  <c:v>112.66430468750001</c:v>
                </c:pt>
              </c:numCache>
            </c:numRef>
          </c:val>
          <c:extLst>
            <c:ext xmlns:c16="http://schemas.microsoft.com/office/drawing/2014/chart" uri="{C3380CC4-5D6E-409C-BE32-E72D297353CC}">
              <c16:uniqueId val="{00000000-9111-474F-A25C-9B66030A05EB}"/>
            </c:ext>
          </c:extLst>
        </c:ser>
        <c:ser>
          <c:idx val="1"/>
          <c:order val="1"/>
          <c:tx>
            <c:strRef>
              <c:f>'WOS nephrops under 250kW'!$K$141</c:f>
              <c:strCache>
                <c:ptCount val="1"/>
                <c:pt idx="0">
                  <c:v>Operating costs</c:v>
                </c:pt>
              </c:strCache>
            </c:strRef>
          </c:tx>
          <c:spPr>
            <a:solidFill>
              <a:srgbClr val="E87308"/>
            </a:solidFill>
          </c:spPr>
          <c:invertIfNegative val="0"/>
          <c:cat>
            <c:strRef>
              <c:f>'WOS nephrops under 250kW'!$L$139:$N$139</c:f>
              <c:strCache>
                <c:ptCount val="3"/>
                <c:pt idx="0">
                  <c:v>Most
profitable
quartile</c:v>
                </c:pt>
                <c:pt idx="1">
                  <c:v>Middle
two quartiles</c:v>
                </c:pt>
                <c:pt idx="2">
                  <c:v>Least
profitable
quartile</c:v>
                </c:pt>
              </c:strCache>
            </c:strRef>
          </c:cat>
          <c:val>
            <c:numRef>
              <c:f>'WOS nephrops under 250kW'!$L$141:$N$141</c:f>
              <c:numCache>
                <c:formatCode>#,##0</c:formatCode>
                <c:ptCount val="3"/>
                <c:pt idx="0">
                  <c:v>187.25243750000001</c:v>
                </c:pt>
                <c:pt idx="1">
                  <c:v>194.42832002314799</c:v>
                </c:pt>
                <c:pt idx="2">
                  <c:v>122.5783203125</c:v>
                </c:pt>
              </c:numCache>
            </c:numRef>
          </c:val>
          <c:extLst>
            <c:ext xmlns:c16="http://schemas.microsoft.com/office/drawing/2014/chart" uri="{C3380CC4-5D6E-409C-BE32-E72D297353CC}">
              <c16:uniqueId val="{00000001-9111-474F-A25C-9B66030A05EB}"/>
            </c:ext>
          </c:extLst>
        </c:ser>
        <c:ser>
          <c:idx val="2"/>
          <c:order val="2"/>
          <c:tx>
            <c:strRef>
              <c:f>'WOS nephrops under 250kW'!$K$142</c:f>
              <c:strCache>
                <c:ptCount val="1"/>
                <c:pt idx="0">
                  <c:v>Operating profit</c:v>
                </c:pt>
              </c:strCache>
            </c:strRef>
          </c:tx>
          <c:spPr>
            <a:solidFill>
              <a:srgbClr val="51AA81"/>
            </a:solidFill>
          </c:spPr>
          <c:invertIfNegative val="0"/>
          <c:cat>
            <c:strRef>
              <c:f>'WOS nephrops under 250kW'!$L$139:$N$139</c:f>
              <c:strCache>
                <c:ptCount val="3"/>
                <c:pt idx="0">
                  <c:v>Most
profitable
quartile</c:v>
                </c:pt>
                <c:pt idx="1">
                  <c:v>Middle
two quartiles</c:v>
                </c:pt>
                <c:pt idx="2">
                  <c:v>Least
profitable
quartile</c:v>
                </c:pt>
              </c:strCache>
            </c:strRef>
          </c:cat>
          <c:val>
            <c:numRef>
              <c:f>'WOS nephrops under 250kW'!$L$142:$N$142</c:f>
              <c:numCache>
                <c:formatCode>#,##0</c:formatCode>
                <c:ptCount val="3"/>
                <c:pt idx="0">
                  <c:v>19.31115625</c:v>
                </c:pt>
                <c:pt idx="1">
                  <c:v>5.2050358796296399</c:v>
                </c:pt>
                <c:pt idx="2">
                  <c:v>-9.9140156249999993</c:v>
                </c:pt>
              </c:numCache>
            </c:numRef>
          </c:val>
          <c:extLst>
            <c:ext xmlns:c16="http://schemas.microsoft.com/office/drawing/2014/chart" uri="{C3380CC4-5D6E-409C-BE32-E72D297353CC}">
              <c16:uniqueId val="{00000002-9111-474F-A25C-9B66030A05E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'WOS nephrops under 250kW'!$K$143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24-40m'!$A$49</c:f>
          <c:strCache>
            <c:ptCount val="1"/>
            <c:pt idx="0">
              <c:v>Landings per kW day at sea (kg)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309-4A82-97A2-AB8D594BDD41}"/>
              </c:ext>
            </c:extLst>
          </c:dPt>
          <c:dPt>
            <c:idx val="10"/>
            <c:bubble3D val="0"/>
            <c:spPr>
              <a:ln w="57150">
                <a:solidFill>
                  <a:srgbClr val="2273B9"/>
                </a:solidFill>
                <a:prstDash val="sysDot"/>
              </a:ln>
            </c:spPr>
            <c:extLst>
              <c:ext xmlns:c16="http://schemas.microsoft.com/office/drawing/2014/chart" uri="{C3380CC4-5D6E-409C-BE32-E72D297353CC}">
                <c16:uniqueId val="{00000003-B309-4A82-97A2-AB8D594BDD41}"/>
              </c:ext>
            </c:extLst>
          </c:dPt>
          <c:cat>
            <c:numRef>
              <c:f>'Area VIIb-k trawlers 24-40m'!$D$2:$N$2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24-40m'!$D$22:$N$22</c:f>
              <c:numCache>
                <c:formatCode>#,##0.00</c:formatCode>
                <c:ptCount val="11"/>
                <c:pt idx="0">
                  <c:v>3.4286569454809737</c:v>
                </c:pt>
                <c:pt idx="1">
                  <c:v>3.5406512618856607</c:v>
                </c:pt>
                <c:pt idx="2">
                  <c:v>3.6766564581479142</c:v>
                </c:pt>
                <c:pt idx="3">
                  <c:v>3.5715711831750334</c:v>
                </c:pt>
                <c:pt idx="4">
                  <c:v>3.191630936465613</c:v>
                </c:pt>
                <c:pt idx="5">
                  <c:v>2.978565863080417</c:v>
                </c:pt>
                <c:pt idx="6">
                  <c:v>3.2534662370544849</c:v>
                </c:pt>
                <c:pt idx="7">
                  <c:v>3.287018245050878</c:v>
                </c:pt>
                <c:pt idx="8">
                  <c:v>3.1131616750753102</c:v>
                </c:pt>
                <c:pt idx="9">
                  <c:v>3.149142899407595</c:v>
                </c:pt>
                <c:pt idx="10">
                  <c:v>3.237431211632225</c:v>
                </c:pt>
              </c:numCache>
            </c:numRef>
          </c:val>
          <c:smooth val="0"/>
          <c:extLst>
            <c:ext xmlns:c16="http://schemas.microsoft.com/office/drawing/2014/chart" uri="{C3380CC4-5D6E-409C-BE32-E72D297353CC}">
              <c16:uniqueId val="{00000004-B309-4A82-97A2-AB8D594BDD41}"/>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24-40m'!$A$50</c:f>
          <c:strCache>
            <c:ptCount val="1"/>
            <c:pt idx="0">
              <c:v>Fishing income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3A63-4C14-B276-5621B4B0711D}"/>
              </c:ext>
            </c:extLst>
          </c:dPt>
          <c:dPt>
            <c:idx val="10"/>
            <c:bubble3D val="0"/>
            <c:spPr>
              <a:ln w="57150">
                <a:solidFill>
                  <a:srgbClr val="648C2E"/>
                </a:solidFill>
                <a:prstDash val="sysDot"/>
              </a:ln>
            </c:spPr>
            <c:extLst>
              <c:ext xmlns:c16="http://schemas.microsoft.com/office/drawing/2014/chart" uri="{C3380CC4-5D6E-409C-BE32-E72D297353CC}">
                <c16:uniqueId val="{00000003-3A63-4C14-B276-5621B4B0711D}"/>
              </c:ext>
            </c:extLst>
          </c:dPt>
          <c:cat>
            <c:numRef>
              <c:f>'Area VIIb-k trawlers 24-40m'!$D$2:$N$2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24-40m'!$D$23:$N$23</c:f>
              <c:numCache>
                <c:formatCode>#,##0.00</c:formatCode>
                <c:ptCount val="11"/>
                <c:pt idx="0">
                  <c:v>10.996285481951601</c:v>
                </c:pt>
                <c:pt idx="1">
                  <c:v>10.6918726409511</c:v>
                </c:pt>
                <c:pt idx="2">
                  <c:v>12.1178677040567</c:v>
                </c:pt>
                <c:pt idx="3">
                  <c:v>11.3232167990021</c:v>
                </c:pt>
                <c:pt idx="4">
                  <c:v>11.9382451485783</c:v>
                </c:pt>
                <c:pt idx="5">
                  <c:v>10.686658775677801</c:v>
                </c:pt>
                <c:pt idx="6">
                  <c:v>11.7512020254595</c:v>
                </c:pt>
                <c:pt idx="7">
                  <c:v>10.1206818895149</c:v>
                </c:pt>
                <c:pt idx="8">
                  <c:v>8.0583900500538999</c:v>
                </c:pt>
                <c:pt idx="9">
                  <c:v>8.8575317459762797</c:v>
                </c:pt>
                <c:pt idx="10">
                  <c:v>10.010682560953063</c:v>
                </c:pt>
              </c:numCache>
            </c:numRef>
          </c:val>
          <c:smooth val="0"/>
          <c:extLst>
            <c:ext xmlns:c16="http://schemas.microsoft.com/office/drawing/2014/chart" uri="{C3380CC4-5D6E-409C-BE32-E72D297353CC}">
              <c16:uniqueId val="{00000004-3A63-4C14-B276-5621B4B0711D}"/>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24-40m'!$B$63</c:f>
          <c:strCache>
            <c:ptCount val="1"/>
            <c:pt idx="0">
              <c:v>Total cost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EA9-49E5-AE62-A4336CB50679}"/>
              </c:ext>
            </c:extLst>
          </c:dPt>
          <c:dPt>
            <c:idx val="10"/>
            <c:bubble3D val="0"/>
            <c:spPr>
              <a:ln w="57150">
                <a:solidFill>
                  <a:srgbClr val="087CBB"/>
                </a:solidFill>
                <a:prstDash val="sysDot"/>
              </a:ln>
            </c:spPr>
            <c:extLst>
              <c:ext xmlns:c16="http://schemas.microsoft.com/office/drawing/2014/chart" uri="{C3380CC4-5D6E-409C-BE32-E72D297353CC}">
                <c16:uniqueId val="{00000003-6EA9-49E5-AE62-A4336CB50679}"/>
              </c:ext>
            </c:extLst>
          </c:dPt>
          <c:cat>
            <c:numRef>
              <c:f>'Area VIIb-k trawlers 24-40m'!$D$2:$N$2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24-40m'!$D$24:$N$24</c:f>
              <c:numCache>
                <c:formatCode>#,##0.00</c:formatCode>
                <c:ptCount val="11"/>
                <c:pt idx="0">
                  <c:v>11.1151054149354</c:v>
                </c:pt>
                <c:pt idx="1">
                  <c:v>10.824768724436799</c:v>
                </c:pt>
                <c:pt idx="2">
                  <c:v>12.008447272634299</c:v>
                </c:pt>
                <c:pt idx="3">
                  <c:v>10.6560520358485</c:v>
                </c:pt>
                <c:pt idx="4">
                  <c:v>8.0055973032219701</c:v>
                </c:pt>
                <c:pt idx="5">
                  <c:v>10.1428143935567</c:v>
                </c:pt>
                <c:pt idx="6">
                  <c:v>11.3725745760684</c:v>
                </c:pt>
                <c:pt idx="7">
                  <c:v>9.4415686181739709</c:v>
                </c:pt>
                <c:pt idx="8">
                  <c:v>7.8126068703599101</c:v>
                </c:pt>
                <c:pt idx="9">
                  <c:v>8.6960008165081408</c:v>
                </c:pt>
                <c:pt idx="10">
                  <c:v>10.366152342860842</c:v>
                </c:pt>
              </c:numCache>
            </c:numRef>
          </c:val>
          <c:smooth val="0"/>
          <c:extLst>
            <c:ext xmlns:c16="http://schemas.microsoft.com/office/drawing/2014/chart" uri="{C3380CC4-5D6E-409C-BE32-E72D297353CC}">
              <c16:uniqueId val="{00000004-6EA9-49E5-AE62-A4336CB5067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trawl'!$K$49</c:f>
          <c:strCache>
            <c:ptCount val="1"/>
            <c:pt idx="0">
              <c:v>Operating profit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12FE-4B62-9417-B5E04B3AA25B}"/>
              </c:ext>
            </c:extLst>
          </c:dPt>
          <c:dPt>
            <c:idx val="10"/>
            <c:bubble3D val="0"/>
            <c:spPr>
              <a:ln w="57150">
                <a:solidFill>
                  <a:schemeClr val="accent3"/>
                </a:solidFill>
                <a:prstDash val="sysDot"/>
              </a:ln>
            </c:spPr>
            <c:extLst>
              <c:ext xmlns:c16="http://schemas.microsoft.com/office/drawing/2014/chart" uri="{C3380CC4-5D6E-409C-BE32-E72D297353CC}">
                <c16:uniqueId val="{00000003-12FE-4B62-9417-B5E04B3AA25B}"/>
              </c:ext>
            </c:extLst>
          </c:dPt>
          <c:cat>
            <c:numRef>
              <c:f>'Area VIIa demersal trawl'!$D$2:$N$2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VIIa demersal trawl'!$D$25:$N$25</c:f>
              <c:numCache>
                <c:formatCode>#,##0.00</c:formatCode>
                <c:ptCount val="11"/>
                <c:pt idx="0">
                  <c:v>0.77800900011526897</c:v>
                </c:pt>
                <c:pt idx="1">
                  <c:v>1.0497430583295599</c:v>
                </c:pt>
                <c:pt idx="2">
                  <c:v>1.02283743167684</c:v>
                </c:pt>
                <c:pt idx="3">
                  <c:v>1.56839119892817</c:v>
                </c:pt>
                <c:pt idx="4">
                  <c:v>2.1223041519245198</c:v>
                </c:pt>
                <c:pt idx="5">
                  <c:v>1.54182567623888</c:v>
                </c:pt>
                <c:pt idx="6">
                  <c:v>1.52240276208803</c:v>
                </c:pt>
                <c:pt idx="7">
                  <c:v>1.89783311591077</c:v>
                </c:pt>
                <c:pt idx="8">
                  <c:v>0.70950981104976896</c:v>
                </c:pt>
                <c:pt idx="9">
                  <c:v>0.63331257987474798</c:v>
                </c:pt>
                <c:pt idx="10">
                  <c:v>7.2640059328653181E-2</c:v>
                </c:pt>
              </c:numCache>
            </c:numRef>
          </c:val>
          <c:smooth val="0"/>
          <c:extLst>
            <c:ext xmlns:c16="http://schemas.microsoft.com/office/drawing/2014/chart" uri="{C3380CC4-5D6E-409C-BE32-E72D297353CC}">
              <c16:uniqueId val="{00000004-12FE-4B62-9417-B5E04B3AA25B}"/>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24-40m'!$K$49</c:f>
          <c:strCache>
            <c:ptCount val="1"/>
            <c:pt idx="0">
              <c:v>Operating profit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5F9-406C-8D56-F283F647FA86}"/>
              </c:ext>
            </c:extLst>
          </c:dPt>
          <c:dPt>
            <c:idx val="10"/>
            <c:bubble3D val="0"/>
            <c:spPr>
              <a:ln w="57150">
                <a:solidFill>
                  <a:schemeClr val="accent3"/>
                </a:solidFill>
                <a:prstDash val="sysDot"/>
              </a:ln>
            </c:spPr>
            <c:extLst>
              <c:ext xmlns:c16="http://schemas.microsoft.com/office/drawing/2014/chart" uri="{C3380CC4-5D6E-409C-BE32-E72D297353CC}">
                <c16:uniqueId val="{00000003-65F9-406C-8D56-F283F647FA86}"/>
              </c:ext>
            </c:extLst>
          </c:dPt>
          <c:cat>
            <c:numRef>
              <c:f>'Area VIIb-k trawlers 24-40m'!$D$2:$N$2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24-40m'!$D$25:$N$25</c:f>
              <c:numCache>
                <c:formatCode>#,##0.00</c:formatCode>
                <c:ptCount val="11"/>
                <c:pt idx="0">
                  <c:v>-8.7751891348155794E-2</c:v>
                </c:pt>
                <c:pt idx="1">
                  <c:v>-0.102688105790602</c:v>
                </c:pt>
                <c:pt idx="2">
                  <c:v>0.26089178820590903</c:v>
                </c:pt>
                <c:pt idx="3">
                  <c:v>0.77107264376677098</c:v>
                </c:pt>
                <c:pt idx="4">
                  <c:v>3.9663772231928101</c:v>
                </c:pt>
                <c:pt idx="5">
                  <c:v>0.72189130924657097</c:v>
                </c:pt>
                <c:pt idx="6">
                  <c:v>0.41182837243682602</c:v>
                </c:pt>
                <c:pt idx="7">
                  <c:v>0.69817605721239695</c:v>
                </c:pt>
                <c:pt idx="8">
                  <c:v>0.30576266778415301</c:v>
                </c:pt>
                <c:pt idx="9">
                  <c:v>0.18655630411841601</c:v>
                </c:pt>
                <c:pt idx="10">
                  <c:v>-0.32718638571702724</c:v>
                </c:pt>
              </c:numCache>
            </c:numRef>
          </c:val>
          <c:smooth val="0"/>
          <c:extLst>
            <c:ext xmlns:c16="http://schemas.microsoft.com/office/drawing/2014/chart" uri="{C3380CC4-5D6E-409C-BE32-E72D297353CC}">
              <c16:uniqueId val="{00000004-65F9-406C-8D56-F283F647FA8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24-40m'!$A$51</c:f>
          <c:strCache>
            <c:ptCount val="1"/>
            <c:pt idx="0">
              <c:v>Average price per tonne landed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36C-4FAC-AA61-16FC3F2D8B97}"/>
              </c:ext>
            </c:extLst>
          </c:dPt>
          <c:dPt>
            <c:idx val="10"/>
            <c:bubble3D val="0"/>
            <c:spPr>
              <a:ln w="57150">
                <a:solidFill>
                  <a:schemeClr val="accent4"/>
                </a:solidFill>
                <a:prstDash val="sysDot"/>
              </a:ln>
            </c:spPr>
            <c:extLst>
              <c:ext xmlns:c16="http://schemas.microsoft.com/office/drawing/2014/chart" uri="{C3380CC4-5D6E-409C-BE32-E72D297353CC}">
                <c16:uniqueId val="{00000003-636C-4FAC-AA61-16FC3F2D8B97}"/>
              </c:ext>
            </c:extLst>
          </c:dPt>
          <c:cat>
            <c:numRef>
              <c:f>'Area VIIb-k trawlers 24-40m'!$D$2:$M$2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24-40m'!$D$21:$N$21</c:f>
              <c:numCache>
                <c:formatCode>#,##0</c:formatCode>
                <c:ptCount val="11"/>
                <c:pt idx="0">
                  <c:v>3207</c:v>
                </c:pt>
                <c:pt idx="1">
                  <c:v>3020</c:v>
                </c:pt>
                <c:pt idx="2">
                  <c:v>3296</c:v>
                </c:pt>
                <c:pt idx="3">
                  <c:v>3170</c:v>
                </c:pt>
                <c:pt idx="4">
                  <c:v>3740</c:v>
                </c:pt>
                <c:pt idx="5">
                  <c:v>3588</c:v>
                </c:pt>
                <c:pt idx="6">
                  <c:v>3612</c:v>
                </c:pt>
                <c:pt idx="7">
                  <c:v>3079</c:v>
                </c:pt>
                <c:pt idx="8">
                  <c:v>2588</c:v>
                </c:pt>
                <c:pt idx="9">
                  <c:v>2813</c:v>
                </c:pt>
                <c:pt idx="10">
                  <c:v>3092</c:v>
                </c:pt>
              </c:numCache>
            </c:numRef>
          </c:val>
          <c:smooth val="0"/>
          <c:extLst>
            <c:ext xmlns:c16="http://schemas.microsoft.com/office/drawing/2014/chart" uri="{C3380CC4-5D6E-409C-BE32-E72D297353CC}">
              <c16:uniqueId val="{00000004-636C-4FAC-AA61-16FC3F2D8B97}"/>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24-40m'!$K$63</c:f>
          <c:strCache>
            <c:ptCount val="1"/>
            <c:pt idx="0">
              <c:v>Average annual operating profit per vessel (£'000)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4F5-4CBF-9F42-A19EE69C6486}"/>
              </c:ext>
            </c:extLst>
          </c:dPt>
          <c:dPt>
            <c:idx val="10"/>
            <c:bubble3D val="0"/>
            <c:spPr>
              <a:ln w="57150">
                <a:solidFill>
                  <a:schemeClr val="accent5"/>
                </a:solidFill>
                <a:prstDash val="sysDot"/>
              </a:ln>
            </c:spPr>
            <c:extLst>
              <c:ext xmlns:c16="http://schemas.microsoft.com/office/drawing/2014/chart" uri="{C3380CC4-5D6E-409C-BE32-E72D297353CC}">
                <c16:uniqueId val="{00000003-74F5-4CBF-9F42-A19EE69C6486}"/>
              </c:ext>
            </c:extLst>
          </c:dPt>
          <c:cat>
            <c:numRef>
              <c:f>'Area VIIb-k trawlers 24-40m'!$D$2:$M$2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24-40m'!$D$38:$N$38</c:f>
              <c:numCache>
                <c:formatCode>#,##0.0</c:formatCode>
                <c:ptCount val="11"/>
                <c:pt idx="0">
                  <c:v>-15.2</c:v>
                </c:pt>
                <c:pt idx="1">
                  <c:v>-15.3</c:v>
                </c:pt>
                <c:pt idx="2">
                  <c:v>45.4</c:v>
                </c:pt>
                <c:pt idx="3">
                  <c:v>132.19999999999999</c:v>
                </c:pt>
                <c:pt idx="4">
                  <c:v>713.5</c:v>
                </c:pt>
                <c:pt idx="5">
                  <c:v>112.5</c:v>
                </c:pt>
                <c:pt idx="6">
                  <c:v>62.3</c:v>
                </c:pt>
                <c:pt idx="7">
                  <c:v>96</c:v>
                </c:pt>
                <c:pt idx="8">
                  <c:v>47.8</c:v>
                </c:pt>
                <c:pt idx="9">
                  <c:v>31.3</c:v>
                </c:pt>
                <c:pt idx="10">
                  <c:v>-49.5</c:v>
                </c:pt>
              </c:numCache>
            </c:numRef>
          </c:val>
          <c:smooth val="0"/>
          <c:extLst>
            <c:ext xmlns:c16="http://schemas.microsoft.com/office/drawing/2014/chart" uri="{C3380CC4-5D6E-409C-BE32-E72D297353CC}">
              <c16:uniqueId val="{00000004-74F5-4CBF-9F42-A19EE69C648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24-40m'!$A$77</c:f>
          <c:strCache>
            <c:ptCount val="1"/>
            <c:pt idx="0">
              <c:v>Top 5 landed species by volume in 2021
Area VIIBCDEFGHK 24-40m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9C56-4B4C-972A-7D20EA15362F}"/>
              </c:ext>
            </c:extLst>
          </c:dPt>
          <c:dPt>
            <c:idx val="1"/>
            <c:bubble3D val="0"/>
            <c:spPr>
              <a:solidFill>
                <a:srgbClr val="E87308"/>
              </a:solidFill>
              <a:ln>
                <a:solidFill>
                  <a:srgbClr val="FFFFFF"/>
                </a:solidFill>
              </a:ln>
            </c:spPr>
            <c:extLst>
              <c:ext xmlns:c16="http://schemas.microsoft.com/office/drawing/2014/chart" uri="{C3380CC4-5D6E-409C-BE32-E72D297353CC}">
                <c16:uniqueId val="{00000003-9C56-4B4C-972A-7D20EA15362F}"/>
              </c:ext>
            </c:extLst>
          </c:dPt>
          <c:dPt>
            <c:idx val="2"/>
            <c:bubble3D val="0"/>
            <c:spPr>
              <a:solidFill>
                <a:srgbClr val="C1D119"/>
              </a:solidFill>
              <a:ln>
                <a:solidFill>
                  <a:srgbClr val="FFFFFF"/>
                </a:solidFill>
              </a:ln>
            </c:spPr>
            <c:extLst>
              <c:ext xmlns:c16="http://schemas.microsoft.com/office/drawing/2014/chart" uri="{C3380CC4-5D6E-409C-BE32-E72D297353CC}">
                <c16:uniqueId val="{00000005-9C56-4B4C-972A-7D20EA15362F}"/>
              </c:ext>
            </c:extLst>
          </c:dPt>
          <c:dPt>
            <c:idx val="3"/>
            <c:bubble3D val="0"/>
            <c:spPr>
              <a:solidFill>
                <a:srgbClr val="0F9AA9"/>
              </a:solidFill>
              <a:ln>
                <a:solidFill>
                  <a:srgbClr val="FFFFFF"/>
                </a:solidFill>
              </a:ln>
            </c:spPr>
            <c:extLst>
              <c:ext xmlns:c16="http://schemas.microsoft.com/office/drawing/2014/chart" uri="{C3380CC4-5D6E-409C-BE32-E72D297353CC}">
                <c16:uniqueId val="{00000007-9C56-4B4C-972A-7D20EA15362F}"/>
              </c:ext>
            </c:extLst>
          </c:dPt>
          <c:dPt>
            <c:idx val="4"/>
            <c:bubble3D val="0"/>
            <c:spPr>
              <a:solidFill>
                <a:srgbClr val="FED825"/>
              </a:solidFill>
              <a:ln>
                <a:solidFill>
                  <a:srgbClr val="FFFFFF"/>
                </a:solidFill>
              </a:ln>
            </c:spPr>
            <c:extLst>
              <c:ext xmlns:c16="http://schemas.microsoft.com/office/drawing/2014/chart" uri="{C3380CC4-5D6E-409C-BE32-E72D297353CC}">
                <c16:uniqueId val="{00000009-9C56-4B4C-972A-7D20EA15362F}"/>
              </c:ext>
            </c:extLst>
          </c:dPt>
          <c:dPt>
            <c:idx val="5"/>
            <c:bubble3D val="0"/>
            <c:spPr>
              <a:solidFill>
                <a:srgbClr val="55585A"/>
              </a:solidFill>
              <a:ln>
                <a:solidFill>
                  <a:srgbClr val="FFFFFF"/>
                </a:solidFill>
              </a:ln>
            </c:spPr>
            <c:extLst>
              <c:ext xmlns:c16="http://schemas.microsoft.com/office/drawing/2014/chart" uri="{C3380CC4-5D6E-409C-BE32-E72D297353CC}">
                <c16:uniqueId val="{0000000B-9C56-4B4C-972A-7D20EA15362F}"/>
              </c:ext>
            </c:extLst>
          </c:dPt>
          <c:cat>
            <c:strRef>
              <c:f>'Area VIIb-k trawlers 24-40m'!$B$78:$B$83</c:f>
              <c:strCache>
                <c:ptCount val="6"/>
                <c:pt idx="0">
                  <c:v>Anglerfish - 43.0%</c:v>
                </c:pt>
                <c:pt idx="1">
                  <c:v>Megrim - 29.3%</c:v>
                </c:pt>
                <c:pt idx="2">
                  <c:v>Witch - 4.0%</c:v>
                </c:pt>
                <c:pt idx="3">
                  <c:v>Hake - 4.0%</c:v>
                </c:pt>
                <c:pt idx="4">
                  <c:v>Haddock - 2.8%</c:v>
                </c:pt>
                <c:pt idx="5">
                  <c:v>Others - 16.8%</c:v>
                </c:pt>
              </c:strCache>
            </c:strRef>
          </c:cat>
          <c:val>
            <c:numRef>
              <c:f>'Area VIIb-k trawlers 24-40m'!$C$78:$C$83</c:f>
              <c:numCache>
                <c:formatCode>0.0%</c:formatCode>
                <c:ptCount val="6"/>
                <c:pt idx="0">
                  <c:v>0.42954083150979289</c:v>
                </c:pt>
                <c:pt idx="1">
                  <c:v>0.29331623296995063</c:v>
                </c:pt>
                <c:pt idx="2">
                  <c:v>4.0487332423450983E-2</c:v>
                </c:pt>
                <c:pt idx="3">
                  <c:v>3.9737647988804012E-2</c:v>
                </c:pt>
                <c:pt idx="4">
                  <c:v>2.8438562367395514E-2</c:v>
                </c:pt>
                <c:pt idx="5">
                  <c:v>0.16847939274060597</c:v>
                </c:pt>
              </c:numCache>
            </c:numRef>
          </c:val>
          <c:extLst>
            <c:ext xmlns:c16="http://schemas.microsoft.com/office/drawing/2014/chart" uri="{C3380CC4-5D6E-409C-BE32-E72D297353CC}">
              <c16:uniqueId val="{0000000C-9C56-4B4C-972A-7D20EA15362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24-40m'!$F$77</c:f>
          <c:strCache>
            <c:ptCount val="1"/>
            <c:pt idx="0">
              <c:v>Top 5 landed species by value in 2021
Area VIIBCDEFGHK 24-40m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C7D-4DD8-8628-282B6C806A5E}"/>
              </c:ext>
            </c:extLst>
          </c:dPt>
          <c:dPt>
            <c:idx val="1"/>
            <c:bubble3D val="0"/>
            <c:spPr>
              <a:solidFill>
                <a:srgbClr val="E87308"/>
              </a:solidFill>
              <a:ln>
                <a:solidFill>
                  <a:srgbClr val="FFFFFF"/>
                </a:solidFill>
              </a:ln>
            </c:spPr>
            <c:extLst>
              <c:ext xmlns:c16="http://schemas.microsoft.com/office/drawing/2014/chart" uri="{C3380CC4-5D6E-409C-BE32-E72D297353CC}">
                <c16:uniqueId val="{00000003-3C7D-4DD8-8628-282B6C806A5E}"/>
              </c:ext>
            </c:extLst>
          </c:dPt>
          <c:dPt>
            <c:idx val="2"/>
            <c:bubble3D val="0"/>
            <c:spPr>
              <a:solidFill>
                <a:srgbClr val="648C2E"/>
              </a:solidFill>
              <a:ln>
                <a:solidFill>
                  <a:srgbClr val="FFFFFF"/>
                </a:solidFill>
              </a:ln>
            </c:spPr>
            <c:extLst>
              <c:ext xmlns:c16="http://schemas.microsoft.com/office/drawing/2014/chart" uri="{C3380CC4-5D6E-409C-BE32-E72D297353CC}">
                <c16:uniqueId val="{00000005-3C7D-4DD8-8628-282B6C806A5E}"/>
              </c:ext>
            </c:extLst>
          </c:dPt>
          <c:dPt>
            <c:idx val="3"/>
            <c:bubble3D val="0"/>
            <c:spPr>
              <a:solidFill>
                <a:srgbClr val="C1D119"/>
              </a:solidFill>
              <a:ln>
                <a:solidFill>
                  <a:srgbClr val="FFFFFF"/>
                </a:solidFill>
              </a:ln>
            </c:spPr>
            <c:extLst>
              <c:ext xmlns:c16="http://schemas.microsoft.com/office/drawing/2014/chart" uri="{C3380CC4-5D6E-409C-BE32-E72D297353CC}">
                <c16:uniqueId val="{00000007-3C7D-4DD8-8628-282B6C806A5E}"/>
              </c:ext>
            </c:extLst>
          </c:dPt>
          <c:dPt>
            <c:idx val="4"/>
            <c:bubble3D val="0"/>
            <c:spPr>
              <a:solidFill>
                <a:srgbClr val="E84A38"/>
              </a:solidFill>
              <a:ln>
                <a:solidFill>
                  <a:srgbClr val="FFFFFF"/>
                </a:solidFill>
              </a:ln>
            </c:spPr>
            <c:extLst>
              <c:ext xmlns:c16="http://schemas.microsoft.com/office/drawing/2014/chart" uri="{C3380CC4-5D6E-409C-BE32-E72D297353CC}">
                <c16:uniqueId val="{00000009-3C7D-4DD8-8628-282B6C806A5E}"/>
              </c:ext>
            </c:extLst>
          </c:dPt>
          <c:dPt>
            <c:idx val="5"/>
            <c:bubble3D val="0"/>
            <c:spPr>
              <a:solidFill>
                <a:srgbClr val="55585A"/>
              </a:solidFill>
              <a:ln>
                <a:solidFill>
                  <a:srgbClr val="FFFFFF"/>
                </a:solidFill>
              </a:ln>
            </c:spPr>
            <c:extLst>
              <c:ext xmlns:c16="http://schemas.microsoft.com/office/drawing/2014/chart" uri="{C3380CC4-5D6E-409C-BE32-E72D297353CC}">
                <c16:uniqueId val="{0000000B-3C7D-4DD8-8628-282B6C806A5E}"/>
              </c:ext>
            </c:extLst>
          </c:dPt>
          <c:cat>
            <c:strRef>
              <c:f>'Area VIIb-k trawlers 24-40m'!$G$78:$G$83</c:f>
              <c:strCache>
                <c:ptCount val="6"/>
                <c:pt idx="0">
                  <c:v>Anglerfish - 51.6%</c:v>
                </c:pt>
                <c:pt idx="1">
                  <c:v>Megrim - 23.9%</c:v>
                </c:pt>
                <c:pt idx="2">
                  <c:v>Nephrops - 6.6%</c:v>
                </c:pt>
                <c:pt idx="3">
                  <c:v>Witch - 2.5%</c:v>
                </c:pt>
                <c:pt idx="4">
                  <c:v>John Dory - 2.5%</c:v>
                </c:pt>
                <c:pt idx="5">
                  <c:v>Others - 12.8%</c:v>
                </c:pt>
              </c:strCache>
            </c:strRef>
          </c:cat>
          <c:val>
            <c:numRef>
              <c:f>'Area VIIb-k trawlers 24-40m'!$H$78:$H$83</c:f>
              <c:numCache>
                <c:formatCode>0.0%</c:formatCode>
                <c:ptCount val="6"/>
                <c:pt idx="0">
                  <c:v>0.51632167975823262</c:v>
                </c:pt>
                <c:pt idx="1">
                  <c:v>0.23931725151526193</c:v>
                </c:pt>
                <c:pt idx="2">
                  <c:v>6.587882597963865E-2</c:v>
                </c:pt>
                <c:pt idx="3">
                  <c:v>2.5214048400644961E-2</c:v>
                </c:pt>
                <c:pt idx="4">
                  <c:v>2.4852956840698468E-2</c:v>
                </c:pt>
                <c:pt idx="5">
                  <c:v>0.12841523750552331</c:v>
                </c:pt>
              </c:numCache>
            </c:numRef>
          </c:val>
          <c:extLst>
            <c:ext xmlns:c16="http://schemas.microsoft.com/office/drawing/2014/chart" uri="{C3380CC4-5D6E-409C-BE32-E72D297353CC}">
              <c16:uniqueId val="{0000000C-3C7D-4DD8-8628-282B6C806A5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24-40m'!$C$93</c:f>
              <c:strCache>
                <c:ptCount val="1"/>
                <c:pt idx="0">
                  <c:v>Anglerfish</c:v>
                </c:pt>
              </c:strCache>
            </c:strRef>
          </c:tx>
          <c:spPr>
            <a:solidFill>
              <a:srgbClr val="2273B9"/>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24-40m'!$D$93:$M$93</c:f>
              <c:numCache>
                <c:formatCode>0%</c:formatCode>
                <c:ptCount val="10"/>
                <c:pt idx="0">
                  <c:v>0.4031881504887127</c:v>
                </c:pt>
                <c:pt idx="1">
                  <c:v>0.40701506377959568</c:v>
                </c:pt>
                <c:pt idx="2">
                  <c:v>0.38506751811489454</c:v>
                </c:pt>
                <c:pt idx="3">
                  <c:v>0.45812575492874508</c:v>
                </c:pt>
                <c:pt idx="4">
                  <c:v>0.4487135587552471</c:v>
                </c:pt>
                <c:pt idx="5">
                  <c:v>0.4587744128226347</c:v>
                </c:pt>
                <c:pt idx="6">
                  <c:v>0.47819974389844794</c:v>
                </c:pt>
                <c:pt idx="7">
                  <c:v>0.46660442123667811</c:v>
                </c:pt>
                <c:pt idx="8">
                  <c:v>0.51632167975823262</c:v>
                </c:pt>
                <c:pt idx="9">
                  <c:v>0.4115356200239137</c:v>
                </c:pt>
              </c:numCache>
            </c:numRef>
          </c:val>
          <c:extLst>
            <c:ext xmlns:c16="http://schemas.microsoft.com/office/drawing/2014/chart" uri="{C3380CC4-5D6E-409C-BE32-E72D297353CC}">
              <c16:uniqueId val="{00000000-6154-478A-91CC-47A767A5CBB4}"/>
            </c:ext>
          </c:extLst>
        </c:ser>
        <c:ser>
          <c:idx val="1"/>
          <c:order val="1"/>
          <c:tx>
            <c:strRef>
              <c:f>'Area VIIb-k trawlers 24-40m'!$C$94</c:f>
              <c:strCache>
                <c:ptCount val="1"/>
                <c:pt idx="0">
                  <c:v>Megrim</c:v>
                </c:pt>
              </c:strCache>
            </c:strRef>
          </c:tx>
          <c:spPr>
            <a:solidFill>
              <a:srgbClr val="E87308"/>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24-40m'!$D$94:$M$94</c:f>
              <c:numCache>
                <c:formatCode>0%</c:formatCode>
                <c:ptCount val="10"/>
                <c:pt idx="0">
                  <c:v>0.32393297562530143</c:v>
                </c:pt>
                <c:pt idx="1">
                  <c:v>0.32545855941152041</c:v>
                </c:pt>
                <c:pt idx="2">
                  <c:v>0.30892385848014436</c:v>
                </c:pt>
                <c:pt idx="3">
                  <c:v>0.33933461392909081</c:v>
                </c:pt>
                <c:pt idx="4">
                  <c:v>0.30372534837333187</c:v>
                </c:pt>
                <c:pt idx="5">
                  <c:v>0.26760876733399463</c:v>
                </c:pt>
                <c:pt idx="6">
                  <c:v>0.24042407363730939</c:v>
                </c:pt>
                <c:pt idx="7">
                  <c:v>0.25414369198610165</c:v>
                </c:pt>
                <c:pt idx="8">
                  <c:v>0.23931725151526193</c:v>
                </c:pt>
                <c:pt idx="9">
                  <c:v>0.18660789189399157</c:v>
                </c:pt>
              </c:numCache>
            </c:numRef>
          </c:val>
          <c:extLst>
            <c:ext xmlns:c16="http://schemas.microsoft.com/office/drawing/2014/chart" uri="{C3380CC4-5D6E-409C-BE32-E72D297353CC}">
              <c16:uniqueId val="{00000001-6154-478A-91CC-47A767A5CBB4}"/>
            </c:ext>
          </c:extLst>
        </c:ser>
        <c:ser>
          <c:idx val="2"/>
          <c:order val="2"/>
          <c:tx>
            <c:strRef>
              <c:f>'Area VIIb-k trawlers 24-40m'!$C$95</c:f>
              <c:strCache>
                <c:ptCount val="1"/>
                <c:pt idx="0">
                  <c:v>Nephrops</c:v>
                </c:pt>
              </c:strCache>
            </c:strRef>
          </c:tx>
          <c:spPr>
            <a:solidFill>
              <a:srgbClr val="648C2E"/>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24-40m'!$D$95:$M$95</c:f>
              <c:numCache>
                <c:formatCode>0%</c:formatCode>
                <c:ptCount val="10"/>
                <c:pt idx="3">
                  <c:v>3.6076637180995873E-2</c:v>
                </c:pt>
                <c:pt idx="4">
                  <c:v>8.0846898694755198E-2</c:v>
                </c:pt>
                <c:pt idx="5">
                  <c:v>6.2714745381407255E-2</c:v>
                </c:pt>
                <c:pt idx="6">
                  <c:v>6.9146097810864227E-2</c:v>
                </c:pt>
                <c:pt idx="7">
                  <c:v>4.3673971790671846E-2</c:v>
                </c:pt>
                <c:pt idx="8">
                  <c:v>6.587882597963865E-2</c:v>
                </c:pt>
                <c:pt idx="9">
                  <c:v>0.16642557972589958</c:v>
                </c:pt>
              </c:numCache>
            </c:numRef>
          </c:val>
          <c:extLst>
            <c:ext xmlns:c16="http://schemas.microsoft.com/office/drawing/2014/chart" uri="{C3380CC4-5D6E-409C-BE32-E72D297353CC}">
              <c16:uniqueId val="{00000002-6154-478A-91CC-47A767A5CBB4}"/>
            </c:ext>
          </c:extLst>
        </c:ser>
        <c:ser>
          <c:idx val="3"/>
          <c:order val="3"/>
          <c:tx>
            <c:strRef>
              <c:f>'Area VIIb-k trawlers 24-40m'!$C$96</c:f>
              <c:strCache>
                <c:ptCount val="1"/>
                <c:pt idx="0">
                  <c:v>Witch</c:v>
                </c:pt>
              </c:strCache>
            </c:strRef>
          </c:tx>
          <c:spPr>
            <a:solidFill>
              <a:srgbClr val="C1D119"/>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24-40m'!$D$96:$M$96</c:f>
              <c:numCache>
                <c:formatCode>0%</c:formatCode>
                <c:ptCount val="10"/>
                <c:pt idx="3">
                  <c:v>3.3864741443011027E-2</c:v>
                </c:pt>
                <c:pt idx="4">
                  <c:v>2.6492853044841148E-2</c:v>
                </c:pt>
                <c:pt idx="5">
                  <c:v>3.1937299966021626E-2</c:v>
                </c:pt>
                <c:pt idx="6">
                  <c:v>2.8444232778621851E-2</c:v>
                </c:pt>
                <c:pt idx="8">
                  <c:v>2.5214048400644961E-2</c:v>
                </c:pt>
                <c:pt idx="9">
                  <c:v>3.0470541210758179E-2</c:v>
                </c:pt>
              </c:numCache>
            </c:numRef>
          </c:val>
          <c:extLst>
            <c:ext xmlns:c16="http://schemas.microsoft.com/office/drawing/2014/chart" uri="{C3380CC4-5D6E-409C-BE32-E72D297353CC}">
              <c16:uniqueId val="{00000003-6154-478A-91CC-47A767A5CBB4}"/>
            </c:ext>
          </c:extLst>
        </c:ser>
        <c:ser>
          <c:idx val="4"/>
          <c:order val="4"/>
          <c:tx>
            <c:strRef>
              <c:f>'Area VIIb-k trawlers 24-40m'!$C$97</c:f>
              <c:strCache>
                <c:ptCount val="1"/>
                <c:pt idx="0">
                  <c:v>John Dory</c:v>
                </c:pt>
              </c:strCache>
            </c:strRef>
          </c:tx>
          <c:spPr>
            <a:solidFill>
              <a:srgbClr val="E84A38"/>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24-40m'!$D$97:$M$97</c:f>
              <c:numCache>
                <c:formatCode>0%</c:formatCode>
                <c:ptCount val="10"/>
                <c:pt idx="8">
                  <c:v>2.4852956840698468E-2</c:v>
                </c:pt>
              </c:numCache>
            </c:numRef>
          </c:val>
          <c:extLst>
            <c:ext xmlns:c16="http://schemas.microsoft.com/office/drawing/2014/chart" uri="{C3380CC4-5D6E-409C-BE32-E72D297353CC}">
              <c16:uniqueId val="{00000004-6154-478A-91CC-47A767A5CBB4}"/>
            </c:ext>
          </c:extLst>
        </c:ser>
        <c:ser>
          <c:idx val="5"/>
          <c:order val="5"/>
          <c:tx>
            <c:strRef>
              <c:f>'Area VIIb-k trawlers 24-40m'!$C$98</c:f>
              <c:strCache>
                <c:ptCount val="1"/>
                <c:pt idx="0">
                  <c:v>Squid</c:v>
                </c:pt>
              </c:strCache>
            </c:strRef>
          </c:tx>
          <c:spPr>
            <a:solidFill>
              <a:srgbClr val="0F9AA9"/>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24-40m'!$D$98:$M$98</c:f>
              <c:numCache>
                <c:formatCode>0%</c:formatCode>
                <c:ptCount val="10"/>
                <c:pt idx="0">
                  <c:v>3.8958014861504915E-2</c:v>
                </c:pt>
                <c:pt idx="1">
                  <c:v>4.0309536607420322E-2</c:v>
                </c:pt>
                <c:pt idx="2">
                  <c:v>3.6188919291715992E-2</c:v>
                </c:pt>
                <c:pt idx="9">
                  <c:v>3.3293173520936921E-2</c:v>
                </c:pt>
              </c:numCache>
            </c:numRef>
          </c:val>
          <c:extLst>
            <c:ext xmlns:c16="http://schemas.microsoft.com/office/drawing/2014/chart" uri="{C3380CC4-5D6E-409C-BE32-E72D297353CC}">
              <c16:uniqueId val="{00000005-6154-478A-91CC-47A767A5CBB4}"/>
            </c:ext>
          </c:extLst>
        </c:ser>
        <c:ser>
          <c:idx val="6"/>
          <c:order val="6"/>
          <c:tx>
            <c:strRef>
              <c:f>'Area VIIb-k trawlers 24-40m'!$C$99</c:f>
              <c:strCache>
                <c:ptCount val="1"/>
                <c:pt idx="0">
                  <c:v>Hake</c:v>
                </c:pt>
              </c:strCache>
            </c:strRef>
          </c:tx>
          <c:spPr>
            <a:solidFill>
              <a:srgbClr val="FED825"/>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24-40m'!$D$99:$M$99</c:f>
              <c:numCache>
                <c:formatCode>0%</c:formatCode>
                <c:ptCount val="10"/>
                <c:pt idx="0">
                  <c:v>3.3098359216542111E-2</c:v>
                </c:pt>
                <c:pt idx="1">
                  <c:v>4.1481225663011344E-2</c:v>
                </c:pt>
                <c:pt idx="2">
                  <c:v>4.9009991365753493E-2</c:v>
                </c:pt>
                <c:pt idx="3">
                  <c:v>4.969888275031932E-2</c:v>
                </c:pt>
                <c:pt idx="4">
                  <c:v>4.5530745822885431E-2</c:v>
                </c:pt>
                <c:pt idx="5">
                  <c:v>3.197149527225629E-2</c:v>
                </c:pt>
                <c:pt idx="6">
                  <c:v>3.9681538971269824E-2</c:v>
                </c:pt>
                <c:pt idx="7">
                  <c:v>3.7061209123884893E-2</c:v>
                </c:pt>
              </c:numCache>
            </c:numRef>
          </c:val>
          <c:extLst>
            <c:ext xmlns:c16="http://schemas.microsoft.com/office/drawing/2014/chart" uri="{C3380CC4-5D6E-409C-BE32-E72D297353CC}">
              <c16:uniqueId val="{00000006-6154-478A-91CC-47A767A5CBB4}"/>
            </c:ext>
          </c:extLst>
        </c:ser>
        <c:ser>
          <c:idx val="7"/>
          <c:order val="7"/>
          <c:tx>
            <c:strRef>
              <c:f>'Area VIIb-k trawlers 24-40m'!$C$100</c:f>
              <c:strCache>
                <c:ptCount val="1"/>
                <c:pt idx="0">
                  <c:v>Haddock</c:v>
                </c:pt>
              </c:strCache>
            </c:strRef>
          </c:tx>
          <c:spPr>
            <a:solidFill>
              <a:srgbClr val="707271"/>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24-40m'!$D$100:$M$100</c:f>
              <c:numCache>
                <c:formatCode>0%</c:formatCode>
                <c:ptCount val="10"/>
                <c:pt idx="0">
                  <c:v>5.6317600795370425E-2</c:v>
                </c:pt>
                <c:pt idx="1">
                  <c:v>2.2554224177519389E-2</c:v>
                </c:pt>
                <c:pt idx="7">
                  <c:v>3.1528333999485875E-2</c:v>
                </c:pt>
              </c:numCache>
            </c:numRef>
          </c:val>
          <c:extLst>
            <c:ext xmlns:c16="http://schemas.microsoft.com/office/drawing/2014/chart" uri="{C3380CC4-5D6E-409C-BE32-E72D297353CC}">
              <c16:uniqueId val="{00000007-6154-478A-91CC-47A767A5CBB4}"/>
            </c:ext>
          </c:extLst>
        </c:ser>
        <c:ser>
          <c:idx val="8"/>
          <c:order val="8"/>
          <c:tx>
            <c:strRef>
              <c:f>'Area VIIb-k trawlers 24-40m'!$C$101</c:f>
              <c:strCache>
                <c:ptCount val="1"/>
                <c:pt idx="0">
                  <c:v>Plaice</c:v>
                </c:pt>
              </c:strCache>
            </c:strRef>
          </c:tx>
          <c:spPr>
            <a:solidFill>
              <a:srgbClr val="51AA81"/>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24-40m'!$D$101:$M$101</c:f>
              <c:numCache>
                <c:formatCode>0%</c:formatCode>
                <c:ptCount val="10"/>
                <c:pt idx="2">
                  <c:v>3.0294966055495028E-2</c:v>
                </c:pt>
              </c:numCache>
            </c:numRef>
          </c:val>
          <c:extLst>
            <c:ext xmlns:c16="http://schemas.microsoft.com/office/drawing/2014/chart" uri="{C3380CC4-5D6E-409C-BE32-E72D297353CC}">
              <c16:uniqueId val="{00000008-6154-478A-91CC-47A767A5CBB4}"/>
            </c:ext>
          </c:extLst>
        </c:ser>
        <c:ser>
          <c:idx val="9"/>
          <c:order val="9"/>
          <c:tx>
            <c:strRef>
              <c:f>'Area VIIb-k trawlers 24-40m'!$C$102</c:f>
              <c:strCache>
                <c:ptCount val="1"/>
                <c:pt idx="0">
                  <c:v>Others</c:v>
                </c:pt>
              </c:strCache>
            </c:strRef>
          </c:tx>
          <c:spPr>
            <a:solidFill>
              <a:srgbClr val="55585A"/>
            </a:solidFill>
            <a:ln>
              <a:solidFill>
                <a:srgbClr val="FFFFFF"/>
              </a:solidFill>
            </a:ln>
          </c:spPr>
          <c:invertIfNegative val="0"/>
          <c:cat>
            <c:numRef>
              <c:f>'Area VIIb-k trawlers 24-40m'!$D$92:$M$92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24-40m'!$D$102:$M$102</c:f>
              <c:numCache>
                <c:formatCode>0%</c:formatCode>
                <c:ptCount val="10"/>
                <c:pt idx="0">
                  <c:v>0.14450489901256838</c:v>
                </c:pt>
                <c:pt idx="1">
                  <c:v>0.16318139036093285</c:v>
                </c:pt>
                <c:pt idx="2">
                  <c:v>0.19051474669199658</c:v>
                </c:pt>
                <c:pt idx="3">
                  <c:v>8.2899369767837849E-2</c:v>
                </c:pt>
                <c:pt idx="4">
                  <c:v>9.4690595308939279E-2</c:v>
                </c:pt>
                <c:pt idx="5">
                  <c:v>0.14699327922368549</c:v>
                </c:pt>
                <c:pt idx="6">
                  <c:v>0.1441043129034868</c:v>
                </c:pt>
                <c:pt idx="7">
                  <c:v>0.16698837186317761</c:v>
                </c:pt>
                <c:pt idx="8">
                  <c:v>0.12841523750552336</c:v>
                </c:pt>
                <c:pt idx="9">
                  <c:v>0.17166719362450006</c:v>
                </c:pt>
              </c:numCache>
            </c:numRef>
          </c:val>
          <c:extLst>
            <c:ext xmlns:c16="http://schemas.microsoft.com/office/drawing/2014/chart" uri="{C3380CC4-5D6E-409C-BE32-E72D297353CC}">
              <c16:uniqueId val="{00000009-6154-478A-91CC-47A767A5CBB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24-40m'!$B$163</c:f>
              <c:strCache>
                <c:ptCount val="1"/>
                <c:pt idx="0">
                  <c:v>Anglerfish</c:v>
                </c:pt>
              </c:strCache>
            </c:strRef>
          </c:tx>
          <c:spPr>
            <a:solidFill>
              <a:srgbClr val="2273B9"/>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24-40m'!$C$163:$E$163</c:f>
              <c:numCache>
                <c:formatCode>0%</c:formatCode>
                <c:ptCount val="3"/>
                <c:pt idx="0">
                  <c:v>0</c:v>
                </c:pt>
                <c:pt idx="1">
                  <c:v>0.44339468831258833</c:v>
                </c:pt>
                <c:pt idx="2">
                  <c:v>0</c:v>
                </c:pt>
              </c:numCache>
            </c:numRef>
          </c:val>
          <c:extLst>
            <c:ext xmlns:c16="http://schemas.microsoft.com/office/drawing/2014/chart" uri="{C3380CC4-5D6E-409C-BE32-E72D297353CC}">
              <c16:uniqueId val="{00000000-57CB-409D-92B7-DDA1ABB33CE1}"/>
            </c:ext>
          </c:extLst>
        </c:ser>
        <c:ser>
          <c:idx val="1"/>
          <c:order val="1"/>
          <c:tx>
            <c:strRef>
              <c:f>'Area VIIb-k trawlers 24-40m'!$B$164</c:f>
              <c:strCache>
                <c:ptCount val="1"/>
                <c:pt idx="0">
                  <c:v>Megrim</c:v>
                </c:pt>
              </c:strCache>
            </c:strRef>
          </c:tx>
          <c:spPr>
            <a:solidFill>
              <a:srgbClr val="E87308"/>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24-40m'!$C$164:$E$164</c:f>
              <c:numCache>
                <c:formatCode>0%</c:formatCode>
                <c:ptCount val="3"/>
                <c:pt idx="0">
                  <c:v>0</c:v>
                </c:pt>
                <c:pt idx="1">
                  <c:v>0.29733686446448088</c:v>
                </c:pt>
                <c:pt idx="2">
                  <c:v>0</c:v>
                </c:pt>
              </c:numCache>
            </c:numRef>
          </c:val>
          <c:extLst>
            <c:ext xmlns:c16="http://schemas.microsoft.com/office/drawing/2014/chart" uri="{C3380CC4-5D6E-409C-BE32-E72D297353CC}">
              <c16:uniqueId val="{00000001-57CB-409D-92B7-DDA1ABB33CE1}"/>
            </c:ext>
          </c:extLst>
        </c:ser>
        <c:ser>
          <c:idx val="2"/>
          <c:order val="2"/>
          <c:tx>
            <c:strRef>
              <c:f>'Area VIIb-k trawlers 24-40m'!$B$165</c:f>
              <c:strCache>
                <c:ptCount val="1"/>
                <c:pt idx="0">
                  <c:v>Nephrops</c:v>
                </c:pt>
              </c:strCache>
            </c:strRef>
          </c:tx>
          <c:spPr>
            <a:solidFill>
              <a:srgbClr val="648C2E"/>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24-40m'!$C$165:$E$165</c:f>
              <c:numCache>
                <c:formatCode>0%</c:formatCode>
                <c:ptCount val="3"/>
                <c:pt idx="0">
                  <c:v>0</c:v>
                </c:pt>
                <c:pt idx="1">
                  <c:v>4.0829936910253391E-2</c:v>
                </c:pt>
                <c:pt idx="2">
                  <c:v>0</c:v>
                </c:pt>
              </c:numCache>
            </c:numRef>
          </c:val>
          <c:extLst>
            <c:ext xmlns:c16="http://schemas.microsoft.com/office/drawing/2014/chart" uri="{C3380CC4-5D6E-409C-BE32-E72D297353CC}">
              <c16:uniqueId val="{00000002-57CB-409D-92B7-DDA1ABB33CE1}"/>
            </c:ext>
          </c:extLst>
        </c:ser>
        <c:ser>
          <c:idx val="3"/>
          <c:order val="3"/>
          <c:tx>
            <c:strRef>
              <c:f>'Area VIIb-k trawlers 24-40m'!$B$166</c:f>
              <c:strCache>
                <c:ptCount val="1"/>
                <c:pt idx="0">
                  <c:v>Haddock</c:v>
                </c:pt>
              </c:strCache>
            </c:strRef>
          </c:tx>
          <c:spPr>
            <a:solidFill>
              <a:srgbClr val="FED825"/>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24-40m'!$C$166:$E$166</c:f>
              <c:numCache>
                <c:formatCode>0%</c:formatCode>
                <c:ptCount val="3"/>
                <c:pt idx="0">
                  <c:v>0</c:v>
                </c:pt>
                <c:pt idx="1">
                  <c:v>3.8147413220645646E-2</c:v>
                </c:pt>
                <c:pt idx="2">
                  <c:v>0</c:v>
                </c:pt>
              </c:numCache>
            </c:numRef>
          </c:val>
          <c:extLst>
            <c:ext xmlns:c16="http://schemas.microsoft.com/office/drawing/2014/chart" uri="{C3380CC4-5D6E-409C-BE32-E72D297353CC}">
              <c16:uniqueId val="{00000003-57CB-409D-92B7-DDA1ABB33CE1}"/>
            </c:ext>
          </c:extLst>
        </c:ser>
        <c:ser>
          <c:idx val="4"/>
          <c:order val="4"/>
          <c:tx>
            <c:strRef>
              <c:f>'Area VIIb-k trawlers 24-40m'!$B$167</c:f>
              <c:strCache>
                <c:ptCount val="1"/>
                <c:pt idx="0">
                  <c:v>Albacore</c:v>
                </c:pt>
              </c:strCache>
            </c:strRef>
          </c:tx>
          <c:spPr>
            <a:solidFill>
              <a:srgbClr val="707271"/>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24-40m'!$C$167:$E$167</c:f>
              <c:numCache>
                <c:formatCode>0%</c:formatCode>
                <c:ptCount val="3"/>
                <c:pt idx="0">
                  <c:v>0</c:v>
                </c:pt>
                <c:pt idx="1">
                  <c:v>3.2686592680596406E-2</c:v>
                </c:pt>
                <c:pt idx="2">
                  <c:v>0</c:v>
                </c:pt>
              </c:numCache>
            </c:numRef>
          </c:val>
          <c:extLst>
            <c:ext xmlns:c16="http://schemas.microsoft.com/office/drawing/2014/chart" uri="{C3380CC4-5D6E-409C-BE32-E72D297353CC}">
              <c16:uniqueId val="{00000004-57CB-409D-92B7-DDA1ABB33CE1}"/>
            </c:ext>
          </c:extLst>
        </c:ser>
        <c:ser>
          <c:idx val="5"/>
          <c:order val="5"/>
          <c:tx>
            <c:strRef>
              <c:f>'Area VIIb-k trawlers 24-40m'!$B$168</c:f>
              <c:strCache>
                <c:ptCount val="1"/>
                <c:pt idx="0">
                  <c:v>Hake</c:v>
                </c:pt>
              </c:strCache>
            </c:strRef>
          </c:tx>
          <c:spPr>
            <a:solidFill>
              <a:srgbClr val="0F9AA9"/>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24-40m'!$C$168:$E$168</c:f>
              <c:numCache>
                <c:formatCode>0%</c:formatCode>
                <c:ptCount val="3"/>
                <c:pt idx="0">
                  <c:v>0</c:v>
                </c:pt>
                <c:pt idx="1">
                  <c:v>0</c:v>
                </c:pt>
                <c:pt idx="2">
                  <c:v>0</c:v>
                </c:pt>
              </c:numCache>
            </c:numRef>
          </c:val>
          <c:extLst>
            <c:ext xmlns:c16="http://schemas.microsoft.com/office/drawing/2014/chart" uri="{C3380CC4-5D6E-409C-BE32-E72D297353CC}">
              <c16:uniqueId val="{00000005-57CB-409D-92B7-DDA1ABB33CE1}"/>
            </c:ext>
          </c:extLst>
        </c:ser>
        <c:ser>
          <c:idx val="6"/>
          <c:order val="6"/>
          <c:tx>
            <c:strRef>
              <c:f>'Area VIIb-k trawlers 24-40m'!$B$169</c:f>
              <c:strCache>
                <c:ptCount val="1"/>
                <c:pt idx="0">
                  <c:v>Witch</c:v>
                </c:pt>
              </c:strCache>
            </c:strRef>
          </c:tx>
          <c:spPr>
            <a:solidFill>
              <a:srgbClr val="C1D119"/>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24-40m'!$C$169:$E$169</c:f>
              <c:numCache>
                <c:formatCode>0%</c:formatCode>
                <c:ptCount val="3"/>
                <c:pt idx="0">
                  <c:v>0</c:v>
                </c:pt>
                <c:pt idx="1">
                  <c:v>0</c:v>
                </c:pt>
                <c:pt idx="2">
                  <c:v>0</c:v>
                </c:pt>
              </c:numCache>
            </c:numRef>
          </c:val>
          <c:extLst>
            <c:ext xmlns:c16="http://schemas.microsoft.com/office/drawing/2014/chart" uri="{C3380CC4-5D6E-409C-BE32-E72D297353CC}">
              <c16:uniqueId val="{00000006-57CB-409D-92B7-DDA1ABB33CE1}"/>
            </c:ext>
          </c:extLst>
        </c:ser>
        <c:ser>
          <c:idx val="7"/>
          <c:order val="7"/>
          <c:tx>
            <c:strRef>
              <c:f>'Area VIIb-k trawlers 24-40m'!$B$170</c:f>
              <c:strCache>
                <c:ptCount val="1"/>
                <c:pt idx="0">
                  <c:v>Others</c:v>
                </c:pt>
              </c:strCache>
            </c:strRef>
          </c:tx>
          <c:spPr>
            <a:solidFill>
              <a:srgbClr val="55585A"/>
            </a:solidFill>
            <a:ln>
              <a:solidFill>
                <a:srgbClr val="FFFFFF"/>
              </a:solidFill>
            </a:ln>
          </c:spPr>
          <c:invertIfNegative val="0"/>
          <c:cat>
            <c:strRef>
              <c:f>'Area VIIb-k trawlers 24-40m'!$C$162:$E$162</c:f>
              <c:strCache>
                <c:ptCount val="3"/>
                <c:pt idx="0">
                  <c:v>Most
profitable
quartile</c:v>
                </c:pt>
                <c:pt idx="1">
                  <c:v>Middle 
two quartiles</c:v>
                </c:pt>
                <c:pt idx="2">
                  <c:v>Least
profitable
quartile</c:v>
                </c:pt>
              </c:strCache>
            </c:strRef>
          </c:cat>
          <c:val>
            <c:numRef>
              <c:f>'Area VIIb-k trawlers 24-40m'!$C$170:$E$170</c:f>
              <c:numCache>
                <c:formatCode>0%</c:formatCode>
                <c:ptCount val="3"/>
                <c:pt idx="0">
                  <c:v>0</c:v>
                </c:pt>
                <c:pt idx="1">
                  <c:v>0.14760450441143536</c:v>
                </c:pt>
                <c:pt idx="2">
                  <c:v>0</c:v>
                </c:pt>
              </c:numCache>
            </c:numRef>
          </c:val>
          <c:extLst>
            <c:ext xmlns:c16="http://schemas.microsoft.com/office/drawing/2014/chart" uri="{C3380CC4-5D6E-409C-BE32-E72D297353CC}">
              <c16:uniqueId val="{00000007-57CB-409D-92B7-DDA1ABB33CE1}"/>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24-40m'!$H$163</c:f>
              <c:strCache>
                <c:ptCount val="1"/>
                <c:pt idx="0">
                  <c:v>Anglerfish</c:v>
                </c:pt>
              </c:strCache>
            </c:strRef>
          </c:tx>
          <c:spPr>
            <a:solidFill>
              <a:srgbClr val="2273B9"/>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24-40m'!$I$163:$K$163</c:f>
              <c:numCache>
                <c:formatCode>0%</c:formatCode>
                <c:ptCount val="3"/>
                <c:pt idx="0">
                  <c:v>0</c:v>
                </c:pt>
                <c:pt idx="1">
                  <c:v>0.48578820062671729</c:v>
                </c:pt>
                <c:pt idx="2">
                  <c:v>0</c:v>
                </c:pt>
              </c:numCache>
            </c:numRef>
          </c:val>
          <c:extLst>
            <c:ext xmlns:c16="http://schemas.microsoft.com/office/drawing/2014/chart" uri="{C3380CC4-5D6E-409C-BE32-E72D297353CC}">
              <c16:uniqueId val="{00000000-99CA-4DD2-9CC4-0AB2363B77A6}"/>
            </c:ext>
          </c:extLst>
        </c:ser>
        <c:ser>
          <c:idx val="1"/>
          <c:order val="1"/>
          <c:tx>
            <c:strRef>
              <c:f>'Area VIIb-k trawlers 24-40m'!$H$164</c:f>
              <c:strCache>
                <c:ptCount val="1"/>
                <c:pt idx="0">
                  <c:v>Megrim</c:v>
                </c:pt>
              </c:strCache>
            </c:strRef>
          </c:tx>
          <c:spPr>
            <a:solidFill>
              <a:srgbClr val="E87308"/>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24-40m'!$I$164:$K$164</c:f>
              <c:numCache>
                <c:formatCode>0%</c:formatCode>
                <c:ptCount val="3"/>
                <c:pt idx="0">
                  <c:v>0</c:v>
                </c:pt>
                <c:pt idx="1">
                  <c:v>0.21632314876998313</c:v>
                </c:pt>
                <c:pt idx="2">
                  <c:v>0</c:v>
                </c:pt>
              </c:numCache>
            </c:numRef>
          </c:val>
          <c:extLst>
            <c:ext xmlns:c16="http://schemas.microsoft.com/office/drawing/2014/chart" uri="{C3380CC4-5D6E-409C-BE32-E72D297353CC}">
              <c16:uniqueId val="{00000001-99CA-4DD2-9CC4-0AB2363B77A6}"/>
            </c:ext>
          </c:extLst>
        </c:ser>
        <c:ser>
          <c:idx val="2"/>
          <c:order val="2"/>
          <c:tx>
            <c:strRef>
              <c:f>'Area VIIb-k trawlers 24-40m'!$H$165</c:f>
              <c:strCache>
                <c:ptCount val="1"/>
                <c:pt idx="0">
                  <c:v>Nephrops</c:v>
                </c:pt>
              </c:strCache>
            </c:strRef>
          </c:tx>
          <c:spPr>
            <a:solidFill>
              <a:srgbClr val="648C2E"/>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24-40m'!$I$165:$K$165</c:f>
              <c:numCache>
                <c:formatCode>0%</c:formatCode>
                <c:ptCount val="3"/>
                <c:pt idx="0">
                  <c:v>0</c:v>
                </c:pt>
                <c:pt idx="1">
                  <c:v>0.13283884194232831</c:v>
                </c:pt>
                <c:pt idx="2">
                  <c:v>0</c:v>
                </c:pt>
              </c:numCache>
            </c:numRef>
          </c:val>
          <c:extLst>
            <c:ext xmlns:c16="http://schemas.microsoft.com/office/drawing/2014/chart" uri="{C3380CC4-5D6E-409C-BE32-E72D297353CC}">
              <c16:uniqueId val="{00000002-99CA-4DD2-9CC4-0AB2363B77A6}"/>
            </c:ext>
          </c:extLst>
        </c:ser>
        <c:ser>
          <c:idx val="3"/>
          <c:order val="3"/>
          <c:tx>
            <c:strRef>
              <c:f>'Area VIIb-k trawlers 24-40m'!$H$166</c:f>
              <c:strCache>
                <c:ptCount val="1"/>
                <c:pt idx="0">
                  <c:v>John Dory</c:v>
                </c:pt>
              </c:strCache>
            </c:strRef>
          </c:tx>
          <c:spPr>
            <a:solidFill>
              <a:srgbClr val="E84A38"/>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24-40m'!$I$166:$K$166</c:f>
              <c:numCache>
                <c:formatCode>0%</c:formatCode>
                <c:ptCount val="3"/>
                <c:pt idx="0">
                  <c:v>0</c:v>
                </c:pt>
                <c:pt idx="1">
                  <c:v>3.3610097876438913E-2</c:v>
                </c:pt>
                <c:pt idx="2">
                  <c:v>0</c:v>
                </c:pt>
              </c:numCache>
            </c:numRef>
          </c:val>
          <c:extLst>
            <c:ext xmlns:c16="http://schemas.microsoft.com/office/drawing/2014/chart" uri="{C3380CC4-5D6E-409C-BE32-E72D297353CC}">
              <c16:uniqueId val="{00000003-99CA-4DD2-9CC4-0AB2363B77A6}"/>
            </c:ext>
          </c:extLst>
        </c:ser>
        <c:ser>
          <c:idx val="4"/>
          <c:order val="4"/>
          <c:tx>
            <c:strRef>
              <c:f>'Area VIIb-k trawlers 24-40m'!$H$167</c:f>
              <c:strCache>
                <c:ptCount val="1"/>
                <c:pt idx="0">
                  <c:v>Haddock</c:v>
                </c:pt>
              </c:strCache>
            </c:strRef>
          </c:tx>
          <c:spPr>
            <a:solidFill>
              <a:srgbClr val="FED825"/>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24-40m'!$I$167:$K$167</c:f>
              <c:numCache>
                <c:formatCode>0%</c:formatCode>
                <c:ptCount val="3"/>
                <c:pt idx="0">
                  <c:v>0</c:v>
                </c:pt>
                <c:pt idx="1">
                  <c:v>2.5950731324158881E-2</c:v>
                </c:pt>
                <c:pt idx="2">
                  <c:v>0</c:v>
                </c:pt>
              </c:numCache>
            </c:numRef>
          </c:val>
          <c:extLst>
            <c:ext xmlns:c16="http://schemas.microsoft.com/office/drawing/2014/chart" uri="{C3380CC4-5D6E-409C-BE32-E72D297353CC}">
              <c16:uniqueId val="{00000004-99CA-4DD2-9CC4-0AB2363B77A6}"/>
            </c:ext>
          </c:extLst>
        </c:ser>
        <c:ser>
          <c:idx val="5"/>
          <c:order val="5"/>
          <c:tx>
            <c:strRef>
              <c:f>'Area VIIb-k trawlers 24-40m'!$H$168</c:f>
              <c:strCache>
                <c:ptCount val="1"/>
                <c:pt idx="0">
                  <c:v>Witch</c:v>
                </c:pt>
              </c:strCache>
            </c:strRef>
          </c:tx>
          <c:spPr>
            <a:solidFill>
              <a:srgbClr val="C1D119"/>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24-40m'!$I$168:$K$168</c:f>
              <c:numCache>
                <c:formatCode>0%</c:formatCode>
                <c:ptCount val="3"/>
                <c:pt idx="0">
                  <c:v>0</c:v>
                </c:pt>
                <c:pt idx="1">
                  <c:v>0</c:v>
                </c:pt>
                <c:pt idx="2">
                  <c:v>0</c:v>
                </c:pt>
              </c:numCache>
            </c:numRef>
          </c:val>
          <c:extLst>
            <c:ext xmlns:c16="http://schemas.microsoft.com/office/drawing/2014/chart" uri="{C3380CC4-5D6E-409C-BE32-E72D297353CC}">
              <c16:uniqueId val="{00000005-99CA-4DD2-9CC4-0AB2363B77A6}"/>
            </c:ext>
          </c:extLst>
        </c:ser>
        <c:ser>
          <c:idx val="6"/>
          <c:order val="6"/>
          <c:tx>
            <c:strRef>
              <c:f>'Area VIIb-k trawlers 24-40m'!$H$169</c:f>
              <c:strCache>
                <c:ptCount val="1"/>
                <c:pt idx="0">
                  <c:v>Hake</c:v>
                </c:pt>
              </c:strCache>
            </c:strRef>
          </c:tx>
          <c:spPr>
            <a:solidFill>
              <a:srgbClr val="0F9AA9"/>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24-40m'!$I$169:$K$169</c:f>
              <c:numCache>
                <c:formatCode>0%</c:formatCode>
                <c:ptCount val="3"/>
                <c:pt idx="0">
                  <c:v>0</c:v>
                </c:pt>
                <c:pt idx="1">
                  <c:v>0</c:v>
                </c:pt>
                <c:pt idx="2">
                  <c:v>0</c:v>
                </c:pt>
              </c:numCache>
            </c:numRef>
          </c:val>
          <c:extLst>
            <c:ext xmlns:c16="http://schemas.microsoft.com/office/drawing/2014/chart" uri="{C3380CC4-5D6E-409C-BE32-E72D297353CC}">
              <c16:uniqueId val="{00000006-99CA-4DD2-9CC4-0AB2363B77A6}"/>
            </c:ext>
          </c:extLst>
        </c:ser>
        <c:ser>
          <c:idx val="7"/>
          <c:order val="7"/>
          <c:tx>
            <c:strRef>
              <c:f>'Area VIIb-k trawlers 24-40m'!$H$170</c:f>
              <c:strCache>
                <c:ptCount val="1"/>
                <c:pt idx="0">
                  <c:v>Others</c:v>
                </c:pt>
              </c:strCache>
            </c:strRef>
          </c:tx>
          <c:spPr>
            <a:solidFill>
              <a:srgbClr val="55585A"/>
            </a:solidFill>
            <a:ln>
              <a:solidFill>
                <a:srgbClr val="FFFFFF"/>
              </a:solidFill>
            </a:ln>
          </c:spPr>
          <c:invertIfNegative val="0"/>
          <c:cat>
            <c:strRef>
              <c:f>'Area VIIb-k trawlers 24-40m'!$I$162:$K$162</c:f>
              <c:strCache>
                <c:ptCount val="3"/>
                <c:pt idx="0">
                  <c:v>Most
profitable
quartile</c:v>
                </c:pt>
                <c:pt idx="1">
                  <c:v>Middle 
two quartiles</c:v>
                </c:pt>
                <c:pt idx="2">
                  <c:v>Least
profitable
quartile</c:v>
                </c:pt>
              </c:strCache>
            </c:strRef>
          </c:cat>
          <c:val>
            <c:numRef>
              <c:f>'Area VIIb-k trawlers 24-40m'!$I$170:$K$170</c:f>
              <c:numCache>
                <c:formatCode>0%</c:formatCode>
                <c:ptCount val="3"/>
                <c:pt idx="0">
                  <c:v>0</c:v>
                </c:pt>
                <c:pt idx="1">
                  <c:v>0.1054889794603735</c:v>
                </c:pt>
                <c:pt idx="2">
                  <c:v>0</c:v>
                </c:pt>
              </c:numCache>
            </c:numRef>
          </c:val>
          <c:extLst>
            <c:ext xmlns:c16="http://schemas.microsoft.com/office/drawing/2014/chart" uri="{C3380CC4-5D6E-409C-BE32-E72D297353CC}">
              <c16:uniqueId val="{00000007-99CA-4DD2-9CC4-0AB2363B77A6}"/>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24-40m'!$K$140</c:f>
              <c:strCache>
                <c:ptCount val="1"/>
                <c:pt idx="0">
                  <c:v>Total income</c:v>
                </c:pt>
              </c:strCache>
            </c:strRef>
          </c:tx>
          <c:spPr>
            <a:solidFill>
              <a:srgbClr val="087CBB"/>
            </a:solidFill>
            <a:ln>
              <a:solidFill>
                <a:schemeClr val="accent1"/>
              </a:solidFill>
            </a:ln>
          </c:spPr>
          <c:invertIfNegative val="0"/>
          <c:cat>
            <c:strRef>
              <c:f>'Area VIIb-k trawlers 24-40m'!$L$139:$N$139</c:f>
              <c:strCache>
                <c:ptCount val="3"/>
                <c:pt idx="0">
                  <c:v>Most
profitable
quartile</c:v>
                </c:pt>
                <c:pt idx="1">
                  <c:v>Middle
two quartiles</c:v>
                </c:pt>
                <c:pt idx="2">
                  <c:v>Least
profitable
quartile</c:v>
                </c:pt>
              </c:strCache>
            </c:strRef>
          </c:cat>
          <c:val>
            <c:numRef>
              <c:f>'Area VIIb-k trawlers 24-40m'!$L$140:$N$140</c:f>
              <c:numCache>
                <c:formatCode>#,##0</c:formatCode>
                <c:ptCount val="3"/>
                <c:pt idx="0">
                  <c:v>0</c:v>
                </c:pt>
                <c:pt idx="1">
                  <c:v>1510.0264374999999</c:v>
                </c:pt>
                <c:pt idx="2">
                  <c:v>0</c:v>
                </c:pt>
              </c:numCache>
            </c:numRef>
          </c:val>
          <c:extLst>
            <c:ext xmlns:c16="http://schemas.microsoft.com/office/drawing/2014/chart" uri="{C3380CC4-5D6E-409C-BE32-E72D297353CC}">
              <c16:uniqueId val="{00000000-4978-4E85-9789-A0E85EBC9FDC}"/>
            </c:ext>
          </c:extLst>
        </c:ser>
        <c:ser>
          <c:idx val="1"/>
          <c:order val="1"/>
          <c:tx>
            <c:strRef>
              <c:f>'Area VIIb-k trawlers 24-40m'!$K$141</c:f>
              <c:strCache>
                <c:ptCount val="1"/>
                <c:pt idx="0">
                  <c:v>Operating costs</c:v>
                </c:pt>
              </c:strCache>
            </c:strRef>
          </c:tx>
          <c:spPr>
            <a:solidFill>
              <a:srgbClr val="E87308"/>
            </a:solidFill>
          </c:spPr>
          <c:invertIfNegative val="0"/>
          <c:cat>
            <c:strRef>
              <c:f>'Area VIIb-k trawlers 24-40m'!$L$139:$N$139</c:f>
              <c:strCache>
                <c:ptCount val="3"/>
                <c:pt idx="0">
                  <c:v>Most
profitable
quartile</c:v>
                </c:pt>
                <c:pt idx="1">
                  <c:v>Middle
two quartiles</c:v>
                </c:pt>
                <c:pt idx="2">
                  <c:v>Least
profitable
quartile</c:v>
                </c:pt>
              </c:strCache>
            </c:strRef>
          </c:cat>
          <c:val>
            <c:numRef>
              <c:f>'Area VIIb-k trawlers 24-40m'!$L$141:$N$141</c:f>
              <c:numCache>
                <c:formatCode>#,##0</c:formatCode>
                <c:ptCount val="3"/>
                <c:pt idx="0">
                  <c:v>0</c:v>
                </c:pt>
                <c:pt idx="1">
                  <c:v>1483.7527500000001</c:v>
                </c:pt>
                <c:pt idx="2">
                  <c:v>0</c:v>
                </c:pt>
              </c:numCache>
            </c:numRef>
          </c:val>
          <c:extLst>
            <c:ext xmlns:c16="http://schemas.microsoft.com/office/drawing/2014/chart" uri="{C3380CC4-5D6E-409C-BE32-E72D297353CC}">
              <c16:uniqueId val="{00000001-4978-4E85-9789-A0E85EBC9FDC}"/>
            </c:ext>
          </c:extLst>
        </c:ser>
        <c:ser>
          <c:idx val="2"/>
          <c:order val="2"/>
          <c:tx>
            <c:strRef>
              <c:f>'Area VIIb-k trawlers 24-40m'!$K$142</c:f>
              <c:strCache>
                <c:ptCount val="1"/>
                <c:pt idx="0">
                  <c:v>Operating profit</c:v>
                </c:pt>
              </c:strCache>
            </c:strRef>
          </c:tx>
          <c:spPr>
            <a:solidFill>
              <a:srgbClr val="51AA81"/>
            </a:solidFill>
          </c:spPr>
          <c:invertIfNegative val="0"/>
          <c:cat>
            <c:strRef>
              <c:f>'Area VIIb-k trawlers 24-40m'!$L$139:$N$139</c:f>
              <c:strCache>
                <c:ptCount val="3"/>
                <c:pt idx="0">
                  <c:v>Most
profitable
quartile</c:v>
                </c:pt>
                <c:pt idx="1">
                  <c:v>Middle
two quartiles</c:v>
                </c:pt>
                <c:pt idx="2">
                  <c:v>Least
profitable
quartile</c:v>
                </c:pt>
              </c:strCache>
            </c:strRef>
          </c:cat>
          <c:val>
            <c:numRef>
              <c:f>'Area VIIb-k trawlers 24-40m'!$L$142:$N$142</c:f>
              <c:numCache>
                <c:formatCode>#,##0</c:formatCode>
                <c:ptCount val="3"/>
                <c:pt idx="0">
                  <c:v>0</c:v>
                </c:pt>
                <c:pt idx="1">
                  <c:v>26.273687500000001</c:v>
                </c:pt>
                <c:pt idx="2">
                  <c:v>0</c:v>
                </c:pt>
              </c:numCache>
            </c:numRef>
          </c:val>
          <c:extLst>
            <c:ext xmlns:c16="http://schemas.microsoft.com/office/drawing/2014/chart" uri="{C3380CC4-5D6E-409C-BE32-E72D297353CC}">
              <c16:uniqueId val="{00000002-4978-4E85-9789-A0E85EBC9FD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VIIb-k trawlers 24-40m'!$K$143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10-24m'!$A$49</c:f>
          <c:strCache>
            <c:ptCount val="1"/>
            <c:pt idx="0">
              <c:v>Landings per kW day at sea (kg)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6CB0-4744-9162-1AC3A0F06268}"/>
              </c:ext>
            </c:extLst>
          </c:dPt>
          <c:dPt>
            <c:idx val="10"/>
            <c:bubble3D val="0"/>
            <c:spPr>
              <a:ln w="57150">
                <a:solidFill>
                  <a:srgbClr val="2273B9"/>
                </a:solidFill>
                <a:prstDash val="sysDot"/>
              </a:ln>
            </c:spPr>
            <c:extLst>
              <c:ext xmlns:c16="http://schemas.microsoft.com/office/drawing/2014/chart" uri="{C3380CC4-5D6E-409C-BE32-E72D297353CC}">
                <c16:uniqueId val="{00000003-6CB0-4744-9162-1AC3A0F06268}"/>
              </c:ext>
            </c:extLst>
          </c:dPt>
          <c:cat>
            <c:numRef>
              <c:f>'Area VIIb-k trawlers 10-24m'!$D$2:$N$2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10-24m'!$D$22:$N$22</c:f>
              <c:numCache>
                <c:formatCode>#,##0.00</c:formatCode>
                <c:ptCount val="11"/>
                <c:pt idx="0">
                  <c:v>5.4069471207733537</c:v>
                </c:pt>
                <c:pt idx="1">
                  <c:v>4.8627880970355344</c:v>
                </c:pt>
                <c:pt idx="2">
                  <c:v>4.6352351020909133</c:v>
                </c:pt>
                <c:pt idx="3">
                  <c:v>4.1739023554721326</c:v>
                </c:pt>
                <c:pt idx="4">
                  <c:v>4.1467510436355912</c:v>
                </c:pt>
                <c:pt idx="5">
                  <c:v>4.1916359957286629</c:v>
                </c:pt>
                <c:pt idx="6">
                  <c:v>3.6839731021911577</c:v>
                </c:pt>
                <c:pt idx="7">
                  <c:v>3.5524353086615954</c:v>
                </c:pt>
                <c:pt idx="8">
                  <c:v>3.5722275987107204</c:v>
                </c:pt>
                <c:pt idx="9">
                  <c:v>2.7152516590806064</c:v>
                </c:pt>
                <c:pt idx="10">
                  <c:v>2.4779574651129783</c:v>
                </c:pt>
              </c:numCache>
            </c:numRef>
          </c:val>
          <c:smooth val="0"/>
          <c:extLst>
            <c:ext xmlns:c16="http://schemas.microsoft.com/office/drawing/2014/chart" uri="{C3380CC4-5D6E-409C-BE32-E72D297353CC}">
              <c16:uniqueId val="{00000004-6CB0-4744-9162-1AC3A0F06268}"/>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trawl'!$A$51</c:f>
          <c:strCache>
            <c:ptCount val="1"/>
            <c:pt idx="0">
              <c:v>Average price per tonne landed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00F8-4858-99FC-8186D17F38B1}"/>
              </c:ext>
            </c:extLst>
          </c:dPt>
          <c:dPt>
            <c:idx val="10"/>
            <c:bubble3D val="0"/>
            <c:spPr>
              <a:ln w="57150">
                <a:solidFill>
                  <a:schemeClr val="accent4"/>
                </a:solidFill>
                <a:prstDash val="sysDot"/>
              </a:ln>
            </c:spPr>
            <c:extLst>
              <c:ext xmlns:c16="http://schemas.microsoft.com/office/drawing/2014/chart" uri="{C3380CC4-5D6E-409C-BE32-E72D297353CC}">
                <c16:uniqueId val="{00000003-00F8-4858-99FC-8186D17F38B1}"/>
              </c:ext>
            </c:extLst>
          </c:dPt>
          <c:cat>
            <c:numRef>
              <c:f>'Area VIIa demersal trawl'!$D$2:$M$2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trawl'!$D$21:$N$21</c:f>
              <c:numCache>
                <c:formatCode>#,##0</c:formatCode>
                <c:ptCount val="11"/>
                <c:pt idx="0">
                  <c:v>967</c:v>
                </c:pt>
                <c:pt idx="1">
                  <c:v>1458</c:v>
                </c:pt>
                <c:pt idx="2">
                  <c:v>2051</c:v>
                </c:pt>
                <c:pt idx="3">
                  <c:v>1845</c:v>
                </c:pt>
                <c:pt idx="4">
                  <c:v>2360</c:v>
                </c:pt>
                <c:pt idx="5">
                  <c:v>2412</c:v>
                </c:pt>
                <c:pt idx="6">
                  <c:v>1968</c:v>
                </c:pt>
                <c:pt idx="7">
                  <c:v>2177</c:v>
                </c:pt>
                <c:pt idx="8">
                  <c:v>1687</c:v>
                </c:pt>
                <c:pt idx="9">
                  <c:v>1531</c:v>
                </c:pt>
                <c:pt idx="10">
                  <c:v>1368</c:v>
                </c:pt>
              </c:numCache>
            </c:numRef>
          </c:val>
          <c:smooth val="0"/>
          <c:extLst>
            <c:ext xmlns:c16="http://schemas.microsoft.com/office/drawing/2014/chart" uri="{C3380CC4-5D6E-409C-BE32-E72D297353CC}">
              <c16:uniqueId val="{00000004-00F8-4858-99FC-8186D17F38B1}"/>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10-24m'!$A$50</c:f>
          <c:strCache>
            <c:ptCount val="1"/>
            <c:pt idx="0">
              <c:v>Fishing income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9817-44B0-9CC0-E21F8140D516}"/>
              </c:ext>
            </c:extLst>
          </c:dPt>
          <c:dPt>
            <c:idx val="10"/>
            <c:bubble3D val="0"/>
            <c:spPr>
              <a:ln w="57150">
                <a:solidFill>
                  <a:srgbClr val="648C2E"/>
                </a:solidFill>
                <a:prstDash val="sysDot"/>
              </a:ln>
            </c:spPr>
            <c:extLst>
              <c:ext xmlns:c16="http://schemas.microsoft.com/office/drawing/2014/chart" uri="{C3380CC4-5D6E-409C-BE32-E72D297353CC}">
                <c16:uniqueId val="{00000003-9817-44B0-9CC0-E21F8140D516}"/>
              </c:ext>
            </c:extLst>
          </c:dPt>
          <c:cat>
            <c:numRef>
              <c:f>'Area VIIb-k trawlers 10-24m'!$D$2:$N$2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10-24m'!$D$23:$N$23</c:f>
              <c:numCache>
                <c:formatCode>#,##0.00</c:formatCode>
                <c:ptCount val="11"/>
                <c:pt idx="0">
                  <c:v>8.8804623890143901</c:v>
                </c:pt>
                <c:pt idx="1">
                  <c:v>8.5912565433508199</c:v>
                </c:pt>
                <c:pt idx="2">
                  <c:v>8.7117607870191804</c:v>
                </c:pt>
                <c:pt idx="3">
                  <c:v>8.1439614032116907</c:v>
                </c:pt>
                <c:pt idx="4">
                  <c:v>8.0503987933439607</c:v>
                </c:pt>
                <c:pt idx="5">
                  <c:v>10.155862094444901</c:v>
                </c:pt>
                <c:pt idx="6">
                  <c:v>7.1662748848967102</c:v>
                </c:pt>
                <c:pt idx="7">
                  <c:v>7.7572449310250997</c:v>
                </c:pt>
                <c:pt idx="8">
                  <c:v>6.4536485717730701</c:v>
                </c:pt>
                <c:pt idx="9">
                  <c:v>6.83199819231411</c:v>
                </c:pt>
                <c:pt idx="10">
                  <c:v>7.9075282869570129</c:v>
                </c:pt>
              </c:numCache>
            </c:numRef>
          </c:val>
          <c:smooth val="0"/>
          <c:extLst>
            <c:ext xmlns:c16="http://schemas.microsoft.com/office/drawing/2014/chart" uri="{C3380CC4-5D6E-409C-BE32-E72D297353CC}">
              <c16:uniqueId val="{00000004-9817-44B0-9CC0-E21F8140D51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10-24m'!$B$63</c:f>
          <c:strCache>
            <c:ptCount val="1"/>
            <c:pt idx="0">
              <c:v>Total cost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20C4-47F4-86B8-71CE995CF93C}"/>
              </c:ext>
            </c:extLst>
          </c:dPt>
          <c:dPt>
            <c:idx val="10"/>
            <c:bubble3D val="0"/>
            <c:spPr>
              <a:ln w="57150">
                <a:solidFill>
                  <a:srgbClr val="087CBB"/>
                </a:solidFill>
                <a:prstDash val="sysDot"/>
              </a:ln>
            </c:spPr>
            <c:extLst>
              <c:ext xmlns:c16="http://schemas.microsoft.com/office/drawing/2014/chart" uri="{C3380CC4-5D6E-409C-BE32-E72D297353CC}">
                <c16:uniqueId val="{00000003-20C4-47F4-86B8-71CE995CF93C}"/>
              </c:ext>
            </c:extLst>
          </c:dPt>
          <c:cat>
            <c:numRef>
              <c:f>'Area VIIb-k trawlers 10-24m'!$D$2:$N$2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10-24m'!$D$24:$N$24</c:f>
              <c:numCache>
                <c:formatCode>#,##0.00</c:formatCode>
                <c:ptCount val="11"/>
                <c:pt idx="0">
                  <c:v>7.5494461384833498</c:v>
                </c:pt>
                <c:pt idx="1">
                  <c:v>7.24679220222471</c:v>
                </c:pt>
                <c:pt idx="2">
                  <c:v>6.7265998731057302</c:v>
                </c:pt>
                <c:pt idx="3">
                  <c:v>6.5600136581739896</c:v>
                </c:pt>
                <c:pt idx="4">
                  <c:v>5.5180853508636698</c:v>
                </c:pt>
                <c:pt idx="5">
                  <c:v>7.21013113744017</c:v>
                </c:pt>
                <c:pt idx="6">
                  <c:v>5.7302668037293101</c:v>
                </c:pt>
                <c:pt idx="7">
                  <c:v>5.8889066288381002</c:v>
                </c:pt>
                <c:pt idx="8">
                  <c:v>5.5484603801244603</c:v>
                </c:pt>
                <c:pt idx="9">
                  <c:v>5.4642921156975603</c:v>
                </c:pt>
                <c:pt idx="10">
                  <c:v>6.6202862172376165</c:v>
                </c:pt>
              </c:numCache>
            </c:numRef>
          </c:val>
          <c:smooth val="0"/>
          <c:extLst>
            <c:ext xmlns:c16="http://schemas.microsoft.com/office/drawing/2014/chart" uri="{C3380CC4-5D6E-409C-BE32-E72D297353CC}">
              <c16:uniqueId val="{00000004-20C4-47F4-86B8-71CE995CF93C}"/>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10-24m'!$K$49</c:f>
          <c:strCache>
            <c:ptCount val="1"/>
            <c:pt idx="0">
              <c:v>Operating profit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F6E8-41C4-86E3-FF76C9A2CF74}"/>
              </c:ext>
            </c:extLst>
          </c:dPt>
          <c:dPt>
            <c:idx val="10"/>
            <c:bubble3D val="0"/>
            <c:spPr>
              <a:ln w="57150">
                <a:solidFill>
                  <a:schemeClr val="accent3"/>
                </a:solidFill>
                <a:prstDash val="sysDot"/>
              </a:ln>
            </c:spPr>
            <c:extLst>
              <c:ext xmlns:c16="http://schemas.microsoft.com/office/drawing/2014/chart" uri="{C3380CC4-5D6E-409C-BE32-E72D297353CC}">
                <c16:uniqueId val="{00000003-F6E8-41C4-86E3-FF76C9A2CF74}"/>
              </c:ext>
            </c:extLst>
          </c:dPt>
          <c:cat>
            <c:numRef>
              <c:f>'Area VIIb-k trawlers 10-24m'!$D$2:$N$2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'Area VIIb-k trawlers 10-24m'!$D$25:$N$25</c:f>
              <c:numCache>
                <c:formatCode>#,##0.00</c:formatCode>
                <c:ptCount val="11"/>
                <c:pt idx="0">
                  <c:v>1.7395780962262399</c:v>
                </c:pt>
                <c:pt idx="1">
                  <c:v>1.4464911661145601</c:v>
                </c:pt>
                <c:pt idx="2">
                  <c:v>2.0682623893020402</c:v>
                </c:pt>
                <c:pt idx="3">
                  <c:v>1.81483625888439</c:v>
                </c:pt>
                <c:pt idx="4">
                  <c:v>2.6613217920977301</c:v>
                </c:pt>
                <c:pt idx="5">
                  <c:v>3.1717336158644902</c:v>
                </c:pt>
                <c:pt idx="6">
                  <c:v>1.9144216529957401</c:v>
                </c:pt>
                <c:pt idx="7">
                  <c:v>2.2471514393280598</c:v>
                </c:pt>
                <c:pt idx="8">
                  <c:v>1.5452338449645899</c:v>
                </c:pt>
                <c:pt idx="9">
                  <c:v>1.3677060766165501</c:v>
                </c:pt>
                <c:pt idx="10">
                  <c:v>1.2872420697193965</c:v>
                </c:pt>
              </c:numCache>
            </c:numRef>
          </c:val>
          <c:smooth val="0"/>
          <c:extLst>
            <c:ext xmlns:c16="http://schemas.microsoft.com/office/drawing/2014/chart" uri="{C3380CC4-5D6E-409C-BE32-E72D297353CC}">
              <c16:uniqueId val="{00000004-F6E8-41C4-86E3-FF76C9A2CF74}"/>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10-24m'!$A$51</c:f>
          <c:strCache>
            <c:ptCount val="1"/>
            <c:pt idx="0">
              <c:v>Average price per tonne landed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C3CC-4E7D-861F-23FF12E46891}"/>
              </c:ext>
            </c:extLst>
          </c:dPt>
          <c:dPt>
            <c:idx val="10"/>
            <c:bubble3D val="0"/>
            <c:spPr>
              <a:ln w="57150">
                <a:solidFill>
                  <a:schemeClr val="accent4"/>
                </a:solidFill>
                <a:prstDash val="sysDot"/>
              </a:ln>
            </c:spPr>
            <c:extLst>
              <c:ext xmlns:c16="http://schemas.microsoft.com/office/drawing/2014/chart" uri="{C3380CC4-5D6E-409C-BE32-E72D297353CC}">
                <c16:uniqueId val="{00000003-C3CC-4E7D-861F-23FF12E46891}"/>
              </c:ext>
            </c:extLst>
          </c:dPt>
          <c:cat>
            <c:numRef>
              <c:f>'Area VIIb-k trawlers 10-24m'!$D$2:$M$2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10-24m'!$D$21:$N$21</c:f>
              <c:numCache>
                <c:formatCode>#,##0</c:formatCode>
                <c:ptCount val="11"/>
                <c:pt idx="0">
                  <c:v>1642</c:v>
                </c:pt>
                <c:pt idx="1">
                  <c:v>1767</c:v>
                </c:pt>
                <c:pt idx="2">
                  <c:v>1879</c:v>
                </c:pt>
                <c:pt idx="3">
                  <c:v>1951</c:v>
                </c:pt>
                <c:pt idx="4">
                  <c:v>1941</c:v>
                </c:pt>
                <c:pt idx="5">
                  <c:v>2423</c:v>
                </c:pt>
                <c:pt idx="6">
                  <c:v>1945</c:v>
                </c:pt>
                <c:pt idx="7">
                  <c:v>2184</c:v>
                </c:pt>
                <c:pt idx="8">
                  <c:v>1807</c:v>
                </c:pt>
                <c:pt idx="9">
                  <c:v>2516</c:v>
                </c:pt>
                <c:pt idx="10">
                  <c:v>3191</c:v>
                </c:pt>
              </c:numCache>
            </c:numRef>
          </c:val>
          <c:smooth val="0"/>
          <c:extLst>
            <c:ext xmlns:c16="http://schemas.microsoft.com/office/drawing/2014/chart" uri="{C3380CC4-5D6E-409C-BE32-E72D297353CC}">
              <c16:uniqueId val="{00000004-C3CC-4E7D-861F-23FF12E46891}"/>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10-24m'!$K$63</c:f>
          <c:strCache>
            <c:ptCount val="1"/>
            <c:pt idx="0">
              <c:v>Average annual operating profit per vessel (£'000)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9330-4B0A-A5E5-57C0B17C70DB}"/>
              </c:ext>
            </c:extLst>
          </c:dPt>
          <c:dPt>
            <c:idx val="10"/>
            <c:bubble3D val="0"/>
            <c:spPr>
              <a:ln w="57150">
                <a:solidFill>
                  <a:schemeClr val="accent5"/>
                </a:solidFill>
                <a:prstDash val="sysDot"/>
              </a:ln>
            </c:spPr>
            <c:extLst>
              <c:ext xmlns:c16="http://schemas.microsoft.com/office/drawing/2014/chart" uri="{C3380CC4-5D6E-409C-BE32-E72D297353CC}">
                <c16:uniqueId val="{00000003-9330-4B0A-A5E5-57C0B17C70DB}"/>
              </c:ext>
            </c:extLst>
          </c:dPt>
          <c:cat>
            <c:numRef>
              <c:f>'Area VIIb-k trawlers 10-24m'!$D$2:$M$2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10-24m'!$D$38:$N$38</c:f>
              <c:numCache>
                <c:formatCode>#,##0.0</c:formatCode>
                <c:ptCount val="11"/>
                <c:pt idx="0">
                  <c:v>60.7</c:v>
                </c:pt>
                <c:pt idx="1">
                  <c:v>48.8</c:v>
                </c:pt>
                <c:pt idx="2">
                  <c:v>68.2</c:v>
                </c:pt>
                <c:pt idx="3">
                  <c:v>55.9</c:v>
                </c:pt>
                <c:pt idx="4">
                  <c:v>97.6</c:v>
                </c:pt>
                <c:pt idx="5">
                  <c:v>104</c:v>
                </c:pt>
                <c:pt idx="6">
                  <c:v>59.8</c:v>
                </c:pt>
                <c:pt idx="7">
                  <c:v>68.7</c:v>
                </c:pt>
                <c:pt idx="8">
                  <c:v>38</c:v>
                </c:pt>
                <c:pt idx="9">
                  <c:v>37.700000000000003</c:v>
                </c:pt>
                <c:pt idx="10">
                  <c:v>40</c:v>
                </c:pt>
              </c:numCache>
            </c:numRef>
          </c:val>
          <c:smooth val="0"/>
          <c:extLst>
            <c:ext xmlns:c16="http://schemas.microsoft.com/office/drawing/2014/chart" uri="{C3380CC4-5D6E-409C-BE32-E72D297353CC}">
              <c16:uniqueId val="{00000004-9330-4B0A-A5E5-57C0B17C70D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10-24m'!$A$77</c:f>
          <c:strCache>
            <c:ptCount val="1"/>
            <c:pt idx="0">
              <c:v>Top 5 landed species by volume in 2021
Area VIIBCDEFGHK trawlers 10-24m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0F9AA9"/>
              </a:solidFill>
              <a:ln>
                <a:solidFill>
                  <a:srgbClr val="FFFFFF"/>
                </a:solidFill>
              </a:ln>
            </c:spPr>
            <c:extLst>
              <c:ext xmlns:c16="http://schemas.microsoft.com/office/drawing/2014/chart" uri="{C3380CC4-5D6E-409C-BE32-E72D297353CC}">
                <c16:uniqueId val="{00000001-CD36-406F-ACE1-3FA913B98732}"/>
              </c:ext>
            </c:extLst>
          </c:dPt>
          <c:dPt>
            <c:idx val="1"/>
            <c:bubble3D val="0"/>
            <c:spPr>
              <a:solidFill>
                <a:srgbClr val="E87308"/>
              </a:solidFill>
              <a:ln>
                <a:solidFill>
                  <a:srgbClr val="FFFFFF"/>
                </a:solidFill>
              </a:ln>
            </c:spPr>
            <c:extLst>
              <c:ext xmlns:c16="http://schemas.microsoft.com/office/drawing/2014/chart" uri="{C3380CC4-5D6E-409C-BE32-E72D297353CC}">
                <c16:uniqueId val="{00000003-CD36-406F-ACE1-3FA913B98732}"/>
              </c:ext>
            </c:extLst>
          </c:dPt>
          <c:dPt>
            <c:idx val="2"/>
            <c:bubble3D val="0"/>
            <c:spPr>
              <a:solidFill>
                <a:srgbClr val="2273B9"/>
              </a:solidFill>
              <a:ln>
                <a:solidFill>
                  <a:srgbClr val="FFFFFF"/>
                </a:solidFill>
              </a:ln>
            </c:spPr>
            <c:extLst>
              <c:ext xmlns:c16="http://schemas.microsoft.com/office/drawing/2014/chart" uri="{C3380CC4-5D6E-409C-BE32-E72D297353CC}">
                <c16:uniqueId val="{00000005-CD36-406F-ACE1-3FA913B98732}"/>
              </c:ext>
            </c:extLst>
          </c:dPt>
          <c:dPt>
            <c:idx val="3"/>
            <c:bubble3D val="0"/>
            <c:spPr>
              <a:solidFill>
                <a:srgbClr val="E84A38"/>
              </a:solidFill>
              <a:ln>
                <a:solidFill>
                  <a:srgbClr val="FFFFFF"/>
                </a:solidFill>
              </a:ln>
            </c:spPr>
            <c:extLst>
              <c:ext xmlns:c16="http://schemas.microsoft.com/office/drawing/2014/chart" uri="{C3380CC4-5D6E-409C-BE32-E72D297353CC}">
                <c16:uniqueId val="{00000007-CD36-406F-ACE1-3FA913B98732}"/>
              </c:ext>
            </c:extLst>
          </c:dPt>
          <c:dPt>
            <c:idx val="4"/>
            <c:bubble3D val="0"/>
            <c:spPr>
              <a:solidFill>
                <a:srgbClr val="FED825"/>
              </a:solidFill>
              <a:ln>
                <a:solidFill>
                  <a:srgbClr val="FFFFFF"/>
                </a:solidFill>
              </a:ln>
            </c:spPr>
            <c:extLst>
              <c:ext xmlns:c16="http://schemas.microsoft.com/office/drawing/2014/chart" uri="{C3380CC4-5D6E-409C-BE32-E72D297353CC}">
                <c16:uniqueId val="{00000009-CD36-406F-ACE1-3FA913B98732}"/>
              </c:ext>
            </c:extLst>
          </c:dPt>
          <c:dPt>
            <c:idx val="5"/>
            <c:bubble3D val="0"/>
            <c:spPr>
              <a:solidFill>
                <a:srgbClr val="55585A"/>
              </a:solidFill>
              <a:ln>
                <a:solidFill>
                  <a:srgbClr val="FFFFFF"/>
                </a:solidFill>
              </a:ln>
            </c:spPr>
            <c:extLst>
              <c:ext xmlns:c16="http://schemas.microsoft.com/office/drawing/2014/chart" uri="{C3380CC4-5D6E-409C-BE32-E72D297353CC}">
                <c16:uniqueId val="{0000000B-CD36-406F-ACE1-3FA913B98732}"/>
              </c:ext>
            </c:extLst>
          </c:dPt>
          <c:cat>
            <c:strRef>
              <c:f>'Area VIIb-k trawlers 10-24m'!$B$78:$B$83</c:f>
              <c:strCache>
                <c:ptCount val="6"/>
                <c:pt idx="0">
                  <c:v>Les. Spot. Dog - 12.6%</c:v>
                </c:pt>
                <c:pt idx="1">
                  <c:v>Cuttlefish - 11.3%</c:v>
                </c:pt>
                <c:pt idx="2">
                  <c:v>Lemon Sole - 11.1%</c:v>
                </c:pt>
                <c:pt idx="3">
                  <c:v>Blonde Ray - 10.9%</c:v>
                </c:pt>
                <c:pt idx="4">
                  <c:v>Thornback Ray - 7.9%</c:v>
                </c:pt>
                <c:pt idx="5">
                  <c:v>Others - 46.2%</c:v>
                </c:pt>
              </c:strCache>
            </c:strRef>
          </c:cat>
          <c:val>
            <c:numRef>
              <c:f>'Area VIIb-k trawlers 10-24m'!$C$78:$C$83</c:f>
              <c:numCache>
                <c:formatCode>0.0%</c:formatCode>
                <c:ptCount val="6"/>
                <c:pt idx="0">
                  <c:v>0.12648553655333153</c:v>
                </c:pt>
                <c:pt idx="1">
                  <c:v>0.11255578909306427</c:v>
                </c:pt>
                <c:pt idx="2">
                  <c:v>0.11139329952429797</c:v>
                </c:pt>
                <c:pt idx="3">
                  <c:v>0.10873313587900739</c:v>
                </c:pt>
                <c:pt idx="4">
                  <c:v>7.9146724157481835E-2</c:v>
                </c:pt>
                <c:pt idx="5">
                  <c:v>0.46168551479281694</c:v>
                </c:pt>
              </c:numCache>
            </c:numRef>
          </c:val>
          <c:extLst>
            <c:ext xmlns:c16="http://schemas.microsoft.com/office/drawing/2014/chart" uri="{C3380CC4-5D6E-409C-BE32-E72D297353CC}">
              <c16:uniqueId val="{0000000C-CD36-406F-ACE1-3FA913B9873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10-24m'!$F$77</c:f>
          <c:strCache>
            <c:ptCount val="1"/>
            <c:pt idx="0">
              <c:v>Top 5 landed species by value in 2021
Area VIIBCDEFGHK trawlers 10-24m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CCA-465F-910C-25ACE2787EFE}"/>
              </c:ext>
            </c:extLst>
          </c:dPt>
          <c:dPt>
            <c:idx val="1"/>
            <c:bubble3D val="0"/>
            <c:spPr>
              <a:solidFill>
                <a:srgbClr val="E87308"/>
              </a:solidFill>
              <a:ln>
                <a:solidFill>
                  <a:srgbClr val="FFFFFF"/>
                </a:solidFill>
              </a:ln>
            </c:spPr>
            <c:extLst>
              <c:ext xmlns:c16="http://schemas.microsoft.com/office/drawing/2014/chart" uri="{C3380CC4-5D6E-409C-BE32-E72D297353CC}">
                <c16:uniqueId val="{00000003-DCCA-465F-910C-25ACE2787EFE}"/>
              </c:ext>
            </c:extLst>
          </c:dPt>
          <c:dPt>
            <c:idx val="2"/>
            <c:bubble3D val="0"/>
            <c:spPr>
              <a:solidFill>
                <a:srgbClr val="648C2E"/>
              </a:solidFill>
              <a:ln>
                <a:solidFill>
                  <a:srgbClr val="FFFFFF"/>
                </a:solidFill>
              </a:ln>
            </c:spPr>
            <c:extLst>
              <c:ext xmlns:c16="http://schemas.microsoft.com/office/drawing/2014/chart" uri="{C3380CC4-5D6E-409C-BE32-E72D297353CC}">
                <c16:uniqueId val="{00000005-DCCA-465F-910C-25ACE2787EFE}"/>
              </c:ext>
            </c:extLst>
          </c:dPt>
          <c:dPt>
            <c:idx val="3"/>
            <c:bubble3D val="0"/>
            <c:spPr>
              <a:solidFill>
                <a:srgbClr val="C1D119"/>
              </a:solidFill>
              <a:ln>
                <a:solidFill>
                  <a:srgbClr val="FFFFFF"/>
                </a:solidFill>
              </a:ln>
            </c:spPr>
            <c:extLst>
              <c:ext xmlns:c16="http://schemas.microsoft.com/office/drawing/2014/chart" uri="{C3380CC4-5D6E-409C-BE32-E72D297353CC}">
                <c16:uniqueId val="{00000007-DCCA-465F-910C-25ACE2787EFE}"/>
              </c:ext>
            </c:extLst>
          </c:dPt>
          <c:dPt>
            <c:idx val="4"/>
            <c:bubble3D val="0"/>
            <c:spPr>
              <a:solidFill>
                <a:srgbClr val="E84A38"/>
              </a:solidFill>
              <a:ln>
                <a:solidFill>
                  <a:srgbClr val="FFFFFF"/>
                </a:solidFill>
              </a:ln>
            </c:spPr>
            <c:extLst>
              <c:ext xmlns:c16="http://schemas.microsoft.com/office/drawing/2014/chart" uri="{C3380CC4-5D6E-409C-BE32-E72D297353CC}">
                <c16:uniqueId val="{00000009-DCCA-465F-910C-25ACE2787EFE}"/>
              </c:ext>
            </c:extLst>
          </c:dPt>
          <c:dPt>
            <c:idx val="5"/>
            <c:bubble3D val="0"/>
            <c:spPr>
              <a:solidFill>
                <a:srgbClr val="55585A"/>
              </a:solidFill>
              <a:ln>
                <a:solidFill>
                  <a:srgbClr val="FFFFFF"/>
                </a:solidFill>
              </a:ln>
            </c:spPr>
            <c:extLst>
              <c:ext xmlns:c16="http://schemas.microsoft.com/office/drawing/2014/chart" uri="{C3380CC4-5D6E-409C-BE32-E72D297353CC}">
                <c16:uniqueId val="{0000000B-DCCA-465F-910C-25ACE2787EFE}"/>
              </c:ext>
            </c:extLst>
          </c:dPt>
          <c:cat>
            <c:strRef>
              <c:f>'Area VIIb-k trawlers 10-24m'!$G$78:$G$83</c:f>
              <c:strCache>
                <c:ptCount val="6"/>
                <c:pt idx="0">
                  <c:v>Lemon Sole - 15.8%</c:v>
                </c:pt>
                <c:pt idx="1">
                  <c:v>Cuttlefish - 15.1%</c:v>
                </c:pt>
                <c:pt idx="2">
                  <c:v>Sole - 10.0%</c:v>
                </c:pt>
                <c:pt idx="3">
                  <c:v>Anglerfish - 8.9%</c:v>
                </c:pt>
                <c:pt idx="4">
                  <c:v>Blonde Ray - 7.0%</c:v>
                </c:pt>
                <c:pt idx="5">
                  <c:v>Others - 43.2%</c:v>
                </c:pt>
              </c:strCache>
            </c:strRef>
          </c:cat>
          <c:val>
            <c:numRef>
              <c:f>'Area VIIb-k trawlers 10-24m'!$H$78:$H$83</c:f>
              <c:numCache>
                <c:formatCode>0.0%</c:formatCode>
                <c:ptCount val="6"/>
                <c:pt idx="0">
                  <c:v>0.15786669788730426</c:v>
                </c:pt>
                <c:pt idx="1">
                  <c:v>0.15110419564696376</c:v>
                </c:pt>
                <c:pt idx="2">
                  <c:v>9.9781115011367841E-2</c:v>
                </c:pt>
                <c:pt idx="3">
                  <c:v>8.9421183443356311E-2</c:v>
                </c:pt>
                <c:pt idx="4">
                  <c:v>6.9857926776074469E-2</c:v>
                </c:pt>
                <c:pt idx="5">
                  <c:v>0.43196888123493338</c:v>
                </c:pt>
              </c:numCache>
            </c:numRef>
          </c:val>
          <c:extLst>
            <c:ext xmlns:c16="http://schemas.microsoft.com/office/drawing/2014/chart" uri="{C3380CC4-5D6E-409C-BE32-E72D297353CC}">
              <c16:uniqueId val="{0000000C-DCCA-465F-910C-25ACE2787EF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10-24m'!$C$93</c:f>
              <c:strCache>
                <c:ptCount val="1"/>
                <c:pt idx="0">
                  <c:v>Lemon Sole</c:v>
                </c:pt>
              </c:strCache>
            </c:strRef>
          </c:tx>
          <c:spPr>
            <a:solidFill>
              <a:srgbClr val="2273B9"/>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10-24m'!$D$93:$M$93</c:f>
              <c:numCache>
                <c:formatCode>0%</c:formatCode>
                <c:ptCount val="10"/>
                <c:pt idx="0">
                  <c:v>0.22855291347375897</c:v>
                </c:pt>
                <c:pt idx="1">
                  <c:v>0.21216468615648737</c:v>
                </c:pt>
                <c:pt idx="2">
                  <c:v>0.18660859042451419</c:v>
                </c:pt>
                <c:pt idx="3">
                  <c:v>0.18116525478197865</c:v>
                </c:pt>
                <c:pt idx="4">
                  <c:v>0.1114090788055733</c:v>
                </c:pt>
                <c:pt idx="5">
                  <c:v>0.12391427717230459</c:v>
                </c:pt>
                <c:pt idx="6">
                  <c:v>0.14153244613682647</c:v>
                </c:pt>
                <c:pt idx="7">
                  <c:v>0.12406923635507563</c:v>
                </c:pt>
                <c:pt idx="8">
                  <c:v>0.15786669788730426</c:v>
                </c:pt>
                <c:pt idx="9">
                  <c:v>0.1005127112153141</c:v>
                </c:pt>
              </c:numCache>
            </c:numRef>
          </c:val>
          <c:extLst>
            <c:ext xmlns:c16="http://schemas.microsoft.com/office/drawing/2014/chart" uri="{C3380CC4-5D6E-409C-BE32-E72D297353CC}">
              <c16:uniqueId val="{00000000-65D8-4749-813C-0BC54CE0226C}"/>
            </c:ext>
          </c:extLst>
        </c:ser>
        <c:ser>
          <c:idx val="1"/>
          <c:order val="1"/>
          <c:tx>
            <c:strRef>
              <c:f>'Area VIIb-k trawlers 10-24m'!$C$94</c:f>
              <c:strCache>
                <c:ptCount val="1"/>
                <c:pt idx="0">
                  <c:v>Cuttlefish</c:v>
                </c:pt>
              </c:strCache>
            </c:strRef>
          </c:tx>
          <c:spPr>
            <a:solidFill>
              <a:srgbClr val="E87308"/>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10-24m'!$D$94:$M$94</c:f>
              <c:numCache>
                <c:formatCode>0%</c:formatCode>
                <c:ptCount val="10"/>
                <c:pt idx="1">
                  <c:v>0.10992614092339756</c:v>
                </c:pt>
                <c:pt idx="2">
                  <c:v>0.17191068170665549</c:v>
                </c:pt>
                <c:pt idx="3">
                  <c:v>0.19519569660232014</c:v>
                </c:pt>
                <c:pt idx="4">
                  <c:v>0.3328633125362756</c:v>
                </c:pt>
                <c:pt idx="5">
                  <c:v>0.13703770294416773</c:v>
                </c:pt>
                <c:pt idx="6">
                  <c:v>0.16716818698503155</c:v>
                </c:pt>
                <c:pt idx="7">
                  <c:v>0.16314210421247941</c:v>
                </c:pt>
                <c:pt idx="8">
                  <c:v>0.15110419564696376</c:v>
                </c:pt>
                <c:pt idx="9">
                  <c:v>0.21070479254624508</c:v>
                </c:pt>
              </c:numCache>
            </c:numRef>
          </c:val>
          <c:extLst>
            <c:ext xmlns:c16="http://schemas.microsoft.com/office/drawing/2014/chart" uri="{C3380CC4-5D6E-409C-BE32-E72D297353CC}">
              <c16:uniqueId val="{00000001-65D8-4749-813C-0BC54CE0226C}"/>
            </c:ext>
          </c:extLst>
        </c:ser>
        <c:ser>
          <c:idx val="2"/>
          <c:order val="2"/>
          <c:tx>
            <c:strRef>
              <c:f>'Area VIIb-k trawlers 10-24m'!$C$95</c:f>
              <c:strCache>
                <c:ptCount val="1"/>
                <c:pt idx="0">
                  <c:v>Sole</c:v>
                </c:pt>
              </c:strCache>
            </c:strRef>
          </c:tx>
          <c:spPr>
            <a:solidFill>
              <a:srgbClr val="648C2E"/>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10-24m'!$D$95:$M$95</c:f>
              <c:numCache>
                <c:formatCode>0%</c:formatCode>
                <c:ptCount val="10"/>
                <c:pt idx="6">
                  <c:v>6.2303994123029512E-2</c:v>
                </c:pt>
                <c:pt idx="7">
                  <c:v>7.6263632021264877E-2</c:v>
                </c:pt>
                <c:pt idx="8">
                  <c:v>9.9781115011367841E-2</c:v>
                </c:pt>
                <c:pt idx="9">
                  <c:v>8.9588066856720897E-2</c:v>
                </c:pt>
              </c:numCache>
            </c:numRef>
          </c:val>
          <c:extLst>
            <c:ext xmlns:c16="http://schemas.microsoft.com/office/drawing/2014/chart" uri="{C3380CC4-5D6E-409C-BE32-E72D297353CC}">
              <c16:uniqueId val="{00000002-65D8-4749-813C-0BC54CE0226C}"/>
            </c:ext>
          </c:extLst>
        </c:ser>
        <c:ser>
          <c:idx val="3"/>
          <c:order val="3"/>
          <c:tx>
            <c:strRef>
              <c:f>'Area VIIb-k trawlers 10-24m'!$C$96</c:f>
              <c:strCache>
                <c:ptCount val="1"/>
                <c:pt idx="0">
                  <c:v>Anglerfish</c:v>
                </c:pt>
              </c:strCache>
            </c:strRef>
          </c:tx>
          <c:spPr>
            <a:solidFill>
              <a:srgbClr val="C1D119"/>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10-24m'!$D$96:$M$96</c:f>
              <c:numCache>
                <c:formatCode>0%</c:formatCode>
                <c:ptCount val="10"/>
                <c:pt idx="0">
                  <c:v>6.9352484412298743E-2</c:v>
                </c:pt>
                <c:pt idx="1">
                  <c:v>7.3905013771125599E-2</c:v>
                </c:pt>
                <c:pt idx="2">
                  <c:v>7.9531859877568667E-2</c:v>
                </c:pt>
                <c:pt idx="3">
                  <c:v>8.6178627465457916E-2</c:v>
                </c:pt>
                <c:pt idx="4">
                  <c:v>5.2754836546474573E-2</c:v>
                </c:pt>
                <c:pt idx="5">
                  <c:v>7.3422283385218112E-2</c:v>
                </c:pt>
                <c:pt idx="6">
                  <c:v>8.9598691374285208E-2</c:v>
                </c:pt>
                <c:pt idx="7">
                  <c:v>0.11202861225842459</c:v>
                </c:pt>
                <c:pt idx="8">
                  <c:v>8.9421183443356311E-2</c:v>
                </c:pt>
                <c:pt idx="9">
                  <c:v>0.11068545656221405</c:v>
                </c:pt>
              </c:numCache>
            </c:numRef>
          </c:val>
          <c:extLst>
            <c:ext xmlns:c16="http://schemas.microsoft.com/office/drawing/2014/chart" uri="{C3380CC4-5D6E-409C-BE32-E72D297353CC}">
              <c16:uniqueId val="{00000003-65D8-4749-813C-0BC54CE0226C}"/>
            </c:ext>
          </c:extLst>
        </c:ser>
        <c:ser>
          <c:idx val="4"/>
          <c:order val="4"/>
          <c:tx>
            <c:strRef>
              <c:f>'Area VIIb-k trawlers 10-24m'!$C$97</c:f>
              <c:strCache>
                <c:ptCount val="1"/>
                <c:pt idx="0">
                  <c:v>Blonde Ray</c:v>
                </c:pt>
              </c:strCache>
            </c:strRef>
          </c:tx>
          <c:spPr>
            <a:solidFill>
              <a:srgbClr val="E84A38"/>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10-24m'!$D$97:$M$97</c:f>
              <c:numCache>
                <c:formatCode>0%</c:formatCode>
                <c:ptCount val="10"/>
                <c:pt idx="2">
                  <c:v>5.3811205469792844E-2</c:v>
                </c:pt>
                <c:pt idx="3">
                  <c:v>4.023512790802674E-2</c:v>
                </c:pt>
                <c:pt idx="7">
                  <c:v>5.9479483259966132E-2</c:v>
                </c:pt>
                <c:pt idx="8">
                  <c:v>6.9857926776074469E-2</c:v>
                </c:pt>
              </c:numCache>
            </c:numRef>
          </c:val>
          <c:extLst>
            <c:ext xmlns:c16="http://schemas.microsoft.com/office/drawing/2014/chart" uri="{C3380CC4-5D6E-409C-BE32-E72D297353CC}">
              <c16:uniqueId val="{00000004-65D8-4749-813C-0BC54CE0226C}"/>
            </c:ext>
          </c:extLst>
        </c:ser>
        <c:ser>
          <c:idx val="5"/>
          <c:order val="5"/>
          <c:tx>
            <c:strRef>
              <c:f>'Area VIIb-k trawlers 10-24m'!$C$98</c:f>
              <c:strCache>
                <c:ptCount val="1"/>
                <c:pt idx="0">
                  <c:v>Squid</c:v>
                </c:pt>
              </c:strCache>
            </c:strRef>
          </c:tx>
          <c:spPr>
            <a:solidFill>
              <a:srgbClr val="0F9AA9"/>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10-24m'!$D$98:$M$98</c:f>
              <c:numCache>
                <c:formatCode>0%</c:formatCode>
                <c:ptCount val="10"/>
                <c:pt idx="0">
                  <c:v>0.11313551216495404</c:v>
                </c:pt>
                <c:pt idx="1">
                  <c:v>0.11954291175096382</c:v>
                </c:pt>
                <c:pt idx="2">
                  <c:v>9.6884274781710258E-2</c:v>
                </c:pt>
                <c:pt idx="3">
                  <c:v>6.1122430121428123E-2</c:v>
                </c:pt>
                <c:pt idx="4">
                  <c:v>6.8204233901612038E-2</c:v>
                </c:pt>
                <c:pt idx="5">
                  <c:v>8.0152419468793826E-2</c:v>
                </c:pt>
                <c:pt idx="6">
                  <c:v>6.605308399677462E-2</c:v>
                </c:pt>
                <c:pt idx="9">
                  <c:v>0.12393909961271028</c:v>
                </c:pt>
              </c:numCache>
            </c:numRef>
          </c:val>
          <c:extLst>
            <c:ext xmlns:c16="http://schemas.microsoft.com/office/drawing/2014/chart" uri="{C3380CC4-5D6E-409C-BE32-E72D297353CC}">
              <c16:uniqueId val="{00000005-65D8-4749-813C-0BC54CE0226C}"/>
            </c:ext>
          </c:extLst>
        </c:ser>
        <c:ser>
          <c:idx val="6"/>
          <c:order val="6"/>
          <c:tx>
            <c:strRef>
              <c:f>'Area VIIb-k trawlers 10-24m'!$C$99</c:f>
              <c:strCache>
                <c:ptCount val="1"/>
                <c:pt idx="0">
                  <c:v>John Dory</c:v>
                </c:pt>
              </c:strCache>
            </c:strRef>
          </c:tx>
          <c:spPr>
            <a:solidFill>
              <a:srgbClr val="FED825"/>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10-24m'!$D$99:$M$99</c:f>
              <c:numCache>
                <c:formatCode>0%</c:formatCode>
                <c:ptCount val="10"/>
                <c:pt idx="1">
                  <c:v>4.4567198947102628E-2</c:v>
                </c:pt>
                <c:pt idx="5">
                  <c:v>6.8869975762989644E-2</c:v>
                </c:pt>
              </c:numCache>
            </c:numRef>
          </c:val>
          <c:extLst>
            <c:ext xmlns:c16="http://schemas.microsoft.com/office/drawing/2014/chart" uri="{C3380CC4-5D6E-409C-BE32-E72D297353CC}">
              <c16:uniqueId val="{00000006-65D8-4749-813C-0BC54CE0226C}"/>
            </c:ext>
          </c:extLst>
        </c:ser>
        <c:ser>
          <c:idx val="7"/>
          <c:order val="7"/>
          <c:tx>
            <c:strRef>
              <c:f>'Area VIIb-k trawlers 10-24m'!$C$100</c:f>
              <c:strCache>
                <c:ptCount val="1"/>
                <c:pt idx="0">
                  <c:v>Scallops</c:v>
                </c:pt>
              </c:strCache>
            </c:strRef>
          </c:tx>
          <c:spPr>
            <a:solidFill>
              <a:srgbClr val="707271"/>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10-24m'!$D$100:$M$100</c:f>
              <c:numCache>
                <c:formatCode>0%</c:formatCode>
                <c:ptCount val="10"/>
                <c:pt idx="0">
                  <c:v>6.1724910154270007E-2</c:v>
                </c:pt>
                <c:pt idx="4">
                  <c:v>8.7016925021437777E-2</c:v>
                </c:pt>
              </c:numCache>
            </c:numRef>
          </c:val>
          <c:extLst>
            <c:ext xmlns:c16="http://schemas.microsoft.com/office/drawing/2014/chart" uri="{C3380CC4-5D6E-409C-BE32-E72D297353CC}">
              <c16:uniqueId val="{00000007-65D8-4749-813C-0BC54CE0226C}"/>
            </c:ext>
          </c:extLst>
        </c:ser>
        <c:ser>
          <c:idx val="8"/>
          <c:order val="8"/>
          <c:tx>
            <c:strRef>
              <c:f>'Area VIIb-k trawlers 10-24m'!$C$101</c:f>
              <c:strCache>
                <c:ptCount val="1"/>
                <c:pt idx="0">
                  <c:v>Haddock</c:v>
                </c:pt>
              </c:strCache>
            </c:strRef>
          </c:tx>
          <c:spPr>
            <a:solidFill>
              <a:srgbClr val="51AA81"/>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10-24m'!$D$101:$M$101</c:f>
              <c:numCache>
                <c:formatCode>0%</c:formatCode>
                <c:ptCount val="10"/>
                <c:pt idx="0">
                  <c:v>7.975497210505321E-2</c:v>
                </c:pt>
              </c:numCache>
            </c:numRef>
          </c:val>
          <c:extLst>
            <c:ext xmlns:c16="http://schemas.microsoft.com/office/drawing/2014/chart" uri="{C3380CC4-5D6E-409C-BE32-E72D297353CC}">
              <c16:uniqueId val="{00000008-65D8-4749-813C-0BC54CE0226C}"/>
            </c:ext>
          </c:extLst>
        </c:ser>
        <c:ser>
          <c:idx val="9"/>
          <c:order val="9"/>
          <c:tx>
            <c:strRef>
              <c:f>'Area VIIb-k trawlers 10-24m'!$C$102</c:f>
              <c:strCache>
                <c:ptCount val="1"/>
                <c:pt idx="0">
                  <c:v>Others</c:v>
                </c:pt>
              </c:strCache>
            </c:strRef>
          </c:tx>
          <c:spPr>
            <a:solidFill>
              <a:srgbClr val="55585A"/>
            </a:solidFill>
            <a:ln>
              <a:solidFill>
                <a:srgbClr val="FFFFFF"/>
              </a:solidFill>
            </a:ln>
          </c:spPr>
          <c:invertIfNegative val="0"/>
          <c:cat>
            <c:numRef>
              <c:f>'Area VIIb-k trawlers 10-24m'!$D$92:$M$92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VIIb-k trawlers 10-24m'!$D$102:$M$102</c:f>
              <c:numCache>
                <c:formatCode>0%</c:formatCode>
                <c:ptCount val="10"/>
                <c:pt idx="0">
                  <c:v>0.44747920768966504</c:v>
                </c:pt>
                <c:pt idx="1">
                  <c:v>0.439894048450923</c:v>
                </c:pt>
                <c:pt idx="2">
                  <c:v>0.41125338773975856</c:v>
                </c:pt>
                <c:pt idx="3">
                  <c:v>0.43610286312078844</c:v>
                </c:pt>
                <c:pt idx="4">
                  <c:v>0.34775161318862668</c:v>
                </c:pt>
                <c:pt idx="5">
                  <c:v>0.51660334126652607</c:v>
                </c:pt>
                <c:pt idx="6">
                  <c:v>0.47334359738405263</c:v>
                </c:pt>
                <c:pt idx="7">
                  <c:v>0.46501693189278936</c:v>
                </c:pt>
                <c:pt idx="8">
                  <c:v>0.43196888123493332</c:v>
                </c:pt>
                <c:pt idx="9">
                  <c:v>0.36456987320679557</c:v>
                </c:pt>
              </c:numCache>
            </c:numRef>
          </c:val>
          <c:extLst>
            <c:ext xmlns:c16="http://schemas.microsoft.com/office/drawing/2014/chart" uri="{C3380CC4-5D6E-409C-BE32-E72D297353CC}">
              <c16:uniqueId val="{00000009-65D8-4749-813C-0BC54CE0226C}"/>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10-24m'!$B$163</c:f>
              <c:strCache>
                <c:ptCount val="1"/>
                <c:pt idx="0">
                  <c:v>Lemon Sole</c:v>
                </c:pt>
              </c:strCache>
            </c:strRef>
          </c:tx>
          <c:spPr>
            <a:solidFill>
              <a:srgbClr val="2273B9"/>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10-24m'!$C$163:$E$163</c:f>
              <c:numCache>
                <c:formatCode>0%</c:formatCode>
                <c:ptCount val="3"/>
                <c:pt idx="0">
                  <c:v>0.10037261792468376</c:v>
                </c:pt>
                <c:pt idx="1">
                  <c:v>0.15740283308197131</c:v>
                </c:pt>
                <c:pt idx="2">
                  <c:v>0.1235188832989856</c:v>
                </c:pt>
              </c:numCache>
            </c:numRef>
          </c:val>
          <c:extLst>
            <c:ext xmlns:c16="http://schemas.microsoft.com/office/drawing/2014/chart" uri="{C3380CC4-5D6E-409C-BE32-E72D297353CC}">
              <c16:uniqueId val="{00000000-D654-4C50-A586-0CF14CBE2D2B}"/>
            </c:ext>
          </c:extLst>
        </c:ser>
        <c:ser>
          <c:idx val="1"/>
          <c:order val="1"/>
          <c:tx>
            <c:strRef>
              <c:f>'Area VIIb-k trawlers 10-24m'!$B$164</c:f>
              <c:strCache>
                <c:ptCount val="1"/>
                <c:pt idx="0">
                  <c:v>Cuttlefish</c:v>
                </c:pt>
              </c:strCache>
            </c:strRef>
          </c:tx>
          <c:spPr>
            <a:solidFill>
              <a:srgbClr val="E87308"/>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10-24m'!$C$164:$E$164</c:f>
              <c:numCache>
                <c:formatCode>0%</c:formatCode>
                <c:ptCount val="3"/>
                <c:pt idx="0">
                  <c:v>0.12640983095565517</c:v>
                </c:pt>
                <c:pt idx="1">
                  <c:v>0.13073083840167543</c:v>
                </c:pt>
                <c:pt idx="2">
                  <c:v>7.5776198072837309E-2</c:v>
                </c:pt>
              </c:numCache>
            </c:numRef>
          </c:val>
          <c:extLst>
            <c:ext xmlns:c16="http://schemas.microsoft.com/office/drawing/2014/chart" uri="{C3380CC4-5D6E-409C-BE32-E72D297353CC}">
              <c16:uniqueId val="{00000001-D654-4C50-A586-0CF14CBE2D2B}"/>
            </c:ext>
          </c:extLst>
        </c:ser>
        <c:ser>
          <c:idx val="2"/>
          <c:order val="2"/>
          <c:tx>
            <c:strRef>
              <c:f>'Area VIIb-k trawlers 10-24m'!$B$165</c:f>
              <c:strCache>
                <c:ptCount val="1"/>
                <c:pt idx="0">
                  <c:v>Les. Spot. Dog</c:v>
                </c:pt>
              </c:strCache>
            </c:strRef>
          </c:tx>
          <c:spPr>
            <a:solidFill>
              <a:srgbClr val="0F9AA9"/>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10-24m'!$C$165:$E$165</c:f>
              <c:numCache>
                <c:formatCode>0%</c:formatCode>
                <c:ptCount val="3"/>
                <c:pt idx="0">
                  <c:v>0.13689527150266845</c:v>
                </c:pt>
                <c:pt idx="1">
                  <c:v>0.12145315142078111</c:v>
                </c:pt>
                <c:pt idx="2">
                  <c:v>0.19880744579975065</c:v>
                </c:pt>
              </c:numCache>
            </c:numRef>
          </c:val>
          <c:extLst>
            <c:ext xmlns:c16="http://schemas.microsoft.com/office/drawing/2014/chart" uri="{C3380CC4-5D6E-409C-BE32-E72D297353CC}">
              <c16:uniqueId val="{00000002-D654-4C50-A586-0CF14CBE2D2B}"/>
            </c:ext>
          </c:extLst>
        </c:ser>
        <c:ser>
          <c:idx val="3"/>
          <c:order val="3"/>
          <c:tx>
            <c:strRef>
              <c:f>'Area VIIb-k trawlers 10-24m'!$B$166</c:f>
              <c:strCache>
                <c:ptCount val="1"/>
                <c:pt idx="0">
                  <c:v>Anglerfish</c:v>
                </c:pt>
              </c:strCache>
            </c:strRef>
          </c:tx>
          <c:spPr>
            <a:solidFill>
              <a:srgbClr val="C1D119"/>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10-24m'!$C$166:$E$166</c:f>
              <c:numCache>
                <c:formatCode>0%</c:formatCode>
                <c:ptCount val="3"/>
                <c:pt idx="0">
                  <c:v>0</c:v>
                </c:pt>
                <c:pt idx="1">
                  <c:v>9.7998561489847494E-2</c:v>
                </c:pt>
                <c:pt idx="2">
                  <c:v>0</c:v>
                </c:pt>
              </c:numCache>
            </c:numRef>
          </c:val>
          <c:extLst>
            <c:ext xmlns:c16="http://schemas.microsoft.com/office/drawing/2014/chart" uri="{C3380CC4-5D6E-409C-BE32-E72D297353CC}">
              <c16:uniqueId val="{00000003-D654-4C50-A586-0CF14CBE2D2B}"/>
            </c:ext>
          </c:extLst>
        </c:ser>
        <c:ser>
          <c:idx val="4"/>
          <c:order val="4"/>
          <c:tx>
            <c:strRef>
              <c:f>'Area VIIb-k trawlers 10-24m'!$B$167</c:f>
              <c:strCache>
                <c:ptCount val="1"/>
                <c:pt idx="0">
                  <c:v>Thornback Ray</c:v>
                </c:pt>
              </c:strCache>
            </c:strRef>
          </c:tx>
          <c:spPr>
            <a:solidFill>
              <a:srgbClr val="FED825"/>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10-24m'!$C$167:$E$167</c:f>
              <c:numCache>
                <c:formatCode>0%</c:formatCode>
                <c:ptCount val="3"/>
                <c:pt idx="0">
                  <c:v>8.6326870497756364E-2</c:v>
                </c:pt>
                <c:pt idx="1">
                  <c:v>9.0980919094203527E-2</c:v>
                </c:pt>
                <c:pt idx="2">
                  <c:v>0</c:v>
                </c:pt>
              </c:numCache>
            </c:numRef>
          </c:val>
          <c:extLst>
            <c:ext xmlns:c16="http://schemas.microsoft.com/office/drawing/2014/chart" uri="{C3380CC4-5D6E-409C-BE32-E72D297353CC}">
              <c16:uniqueId val="{00000004-D654-4C50-A586-0CF14CBE2D2B}"/>
            </c:ext>
          </c:extLst>
        </c:ser>
        <c:ser>
          <c:idx val="5"/>
          <c:order val="5"/>
          <c:tx>
            <c:strRef>
              <c:f>'Area VIIb-k trawlers 10-24m'!$B$168</c:f>
              <c:strCache>
                <c:ptCount val="1"/>
                <c:pt idx="0">
                  <c:v>Plaice</c:v>
                </c:pt>
              </c:strCache>
            </c:strRef>
          </c:tx>
          <c:spPr>
            <a:solidFill>
              <a:srgbClr val="707271"/>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10-24m'!$C$168:$E$168</c:f>
              <c:numCache>
                <c:formatCode>0%</c:formatCode>
                <c:ptCount val="3"/>
                <c:pt idx="0">
                  <c:v>0</c:v>
                </c:pt>
                <c:pt idx="1">
                  <c:v>0</c:v>
                </c:pt>
                <c:pt idx="2">
                  <c:v>0.10864503094534</c:v>
                </c:pt>
              </c:numCache>
            </c:numRef>
          </c:val>
          <c:extLst>
            <c:ext xmlns:c16="http://schemas.microsoft.com/office/drawing/2014/chart" uri="{C3380CC4-5D6E-409C-BE32-E72D297353CC}">
              <c16:uniqueId val="{00000005-D654-4C50-A586-0CF14CBE2D2B}"/>
            </c:ext>
          </c:extLst>
        </c:ser>
        <c:ser>
          <c:idx val="6"/>
          <c:order val="6"/>
          <c:tx>
            <c:strRef>
              <c:f>'Area VIIb-k trawlers 10-24m'!$B$169</c:f>
              <c:strCache>
                <c:ptCount val="1"/>
                <c:pt idx="0">
                  <c:v>Smoothhound</c:v>
                </c:pt>
              </c:strCache>
            </c:strRef>
          </c:tx>
          <c:spPr>
            <a:solidFill>
              <a:srgbClr val="51AA81"/>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10-24m'!$C$169:$E$169</c:f>
              <c:numCache>
                <c:formatCode>0%</c:formatCode>
                <c:ptCount val="3"/>
                <c:pt idx="0">
                  <c:v>0</c:v>
                </c:pt>
                <c:pt idx="1">
                  <c:v>0</c:v>
                </c:pt>
                <c:pt idx="2">
                  <c:v>9.3779448959790027E-2</c:v>
                </c:pt>
              </c:numCache>
            </c:numRef>
          </c:val>
          <c:extLst>
            <c:ext xmlns:c16="http://schemas.microsoft.com/office/drawing/2014/chart" uri="{C3380CC4-5D6E-409C-BE32-E72D297353CC}">
              <c16:uniqueId val="{00000006-D654-4C50-A586-0CF14CBE2D2B}"/>
            </c:ext>
          </c:extLst>
        </c:ser>
        <c:ser>
          <c:idx val="7"/>
          <c:order val="7"/>
          <c:tx>
            <c:strRef>
              <c:f>'Area VIIb-k trawlers 10-24m'!$B$170</c:f>
              <c:strCache>
                <c:ptCount val="1"/>
                <c:pt idx="0">
                  <c:v>Blonde Ray</c:v>
                </c:pt>
              </c:strCache>
            </c:strRef>
          </c:tx>
          <c:spPr>
            <a:solidFill>
              <a:srgbClr val="E84A38"/>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10-24m'!$C$170:$E$170</c:f>
              <c:numCache>
                <c:formatCode>0%</c:formatCode>
                <c:ptCount val="3"/>
                <c:pt idx="0">
                  <c:v>0.14828847854419716</c:v>
                </c:pt>
                <c:pt idx="1">
                  <c:v>0</c:v>
                </c:pt>
                <c:pt idx="2">
                  <c:v>0</c:v>
                </c:pt>
              </c:numCache>
            </c:numRef>
          </c:val>
          <c:extLst>
            <c:ext xmlns:c16="http://schemas.microsoft.com/office/drawing/2014/chart" uri="{C3380CC4-5D6E-409C-BE32-E72D297353CC}">
              <c16:uniqueId val="{00000007-D654-4C50-A586-0CF14CBE2D2B}"/>
            </c:ext>
          </c:extLst>
        </c:ser>
        <c:ser>
          <c:idx val="8"/>
          <c:order val="8"/>
          <c:tx>
            <c:strRef>
              <c:f>'Area VIIb-k trawlers 10-24m'!$B$171</c:f>
              <c:strCache>
                <c:ptCount val="1"/>
                <c:pt idx="0">
                  <c:v>Others</c:v>
                </c:pt>
              </c:strCache>
            </c:strRef>
          </c:tx>
          <c:spPr>
            <a:solidFill>
              <a:srgbClr val="55585A"/>
            </a:solidFill>
            <a:ln>
              <a:solidFill>
                <a:srgbClr val="FFFFFF"/>
              </a:solidFill>
            </a:ln>
          </c:spPr>
          <c:invertIfNegative val="0"/>
          <c:cat>
            <c:strRef>
              <c:f>'Area VIIb-k trawlers 10-24m'!$C$162:$E$162</c:f>
              <c:strCache>
                <c:ptCount val="3"/>
                <c:pt idx="0">
                  <c:v>Most
profitable
quartile</c:v>
                </c:pt>
                <c:pt idx="1">
                  <c:v>Middle 
two quartiles</c:v>
                </c:pt>
                <c:pt idx="2">
                  <c:v>Least
profitable
quartile</c:v>
                </c:pt>
              </c:strCache>
            </c:strRef>
          </c:cat>
          <c:val>
            <c:numRef>
              <c:f>'Area VIIb-k trawlers 10-24m'!$C$171:$E$171</c:f>
              <c:numCache>
                <c:formatCode>0%</c:formatCode>
                <c:ptCount val="3"/>
                <c:pt idx="0">
                  <c:v>0.40170693057503915</c:v>
                </c:pt>
                <c:pt idx="1">
                  <c:v>0.40143369651152105</c:v>
                </c:pt>
                <c:pt idx="2">
                  <c:v>0.39947299292329641</c:v>
                </c:pt>
              </c:numCache>
            </c:numRef>
          </c:val>
          <c:extLst>
            <c:ext xmlns:c16="http://schemas.microsoft.com/office/drawing/2014/chart" uri="{C3380CC4-5D6E-409C-BE32-E72D297353CC}">
              <c16:uniqueId val="{00000008-D654-4C50-A586-0CF14CBE2D2B}"/>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10-24m'!$H$163</c:f>
              <c:strCache>
                <c:ptCount val="1"/>
                <c:pt idx="0">
                  <c:v>Lemon Sole</c:v>
                </c:pt>
              </c:strCache>
            </c:strRef>
          </c:tx>
          <c:spPr>
            <a:solidFill>
              <a:srgbClr val="2273B9"/>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10-24m'!$I$163:$K$163</c:f>
              <c:numCache>
                <c:formatCode>0%</c:formatCode>
                <c:ptCount val="3"/>
                <c:pt idx="0">
                  <c:v>0.15020338797190935</c:v>
                </c:pt>
                <c:pt idx="1">
                  <c:v>0.20170031667220986</c:v>
                </c:pt>
                <c:pt idx="2">
                  <c:v>0.18607512400572382</c:v>
                </c:pt>
              </c:numCache>
            </c:numRef>
          </c:val>
          <c:extLst>
            <c:ext xmlns:c16="http://schemas.microsoft.com/office/drawing/2014/chart" uri="{C3380CC4-5D6E-409C-BE32-E72D297353CC}">
              <c16:uniqueId val="{00000000-AD53-49F7-83BF-026FD1D4F790}"/>
            </c:ext>
          </c:extLst>
        </c:ser>
        <c:ser>
          <c:idx val="1"/>
          <c:order val="1"/>
          <c:tx>
            <c:strRef>
              <c:f>'Area VIIb-k trawlers 10-24m'!$H$164</c:f>
              <c:strCache>
                <c:ptCount val="1"/>
                <c:pt idx="0">
                  <c:v>Cuttlefish</c:v>
                </c:pt>
              </c:strCache>
            </c:strRef>
          </c:tx>
          <c:spPr>
            <a:solidFill>
              <a:srgbClr val="E87308"/>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10-24m'!$I$164:$K$164</c:f>
              <c:numCache>
                <c:formatCode>0%</c:formatCode>
                <c:ptCount val="3"/>
                <c:pt idx="0">
                  <c:v>0.17937192810879368</c:v>
                </c:pt>
                <c:pt idx="1">
                  <c:v>0.15744649438587829</c:v>
                </c:pt>
                <c:pt idx="2">
                  <c:v>0.10729123932314406</c:v>
                </c:pt>
              </c:numCache>
            </c:numRef>
          </c:val>
          <c:extLst>
            <c:ext xmlns:c16="http://schemas.microsoft.com/office/drawing/2014/chart" uri="{C3380CC4-5D6E-409C-BE32-E72D297353CC}">
              <c16:uniqueId val="{00000001-AD53-49F7-83BF-026FD1D4F790}"/>
            </c:ext>
          </c:extLst>
        </c:ser>
        <c:ser>
          <c:idx val="2"/>
          <c:order val="2"/>
          <c:tx>
            <c:strRef>
              <c:f>'Area VIIb-k trawlers 10-24m'!$H$165</c:f>
              <c:strCache>
                <c:ptCount val="1"/>
                <c:pt idx="0">
                  <c:v>Sole</c:v>
                </c:pt>
              </c:strCache>
            </c:strRef>
          </c:tx>
          <c:spPr>
            <a:solidFill>
              <a:srgbClr val="648C2E"/>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10-24m'!$I$165:$K$165</c:f>
              <c:numCache>
                <c:formatCode>0%</c:formatCode>
                <c:ptCount val="3"/>
                <c:pt idx="0">
                  <c:v>8.2230797027204386E-2</c:v>
                </c:pt>
                <c:pt idx="1">
                  <c:v>0.1415614957579531</c:v>
                </c:pt>
                <c:pt idx="2">
                  <c:v>0.13797714587330165</c:v>
                </c:pt>
              </c:numCache>
            </c:numRef>
          </c:val>
          <c:extLst>
            <c:ext xmlns:c16="http://schemas.microsoft.com/office/drawing/2014/chart" uri="{C3380CC4-5D6E-409C-BE32-E72D297353CC}">
              <c16:uniqueId val="{00000002-AD53-49F7-83BF-026FD1D4F790}"/>
            </c:ext>
          </c:extLst>
        </c:ser>
        <c:ser>
          <c:idx val="3"/>
          <c:order val="3"/>
          <c:tx>
            <c:strRef>
              <c:f>'Area VIIb-k trawlers 10-24m'!$H$166</c:f>
              <c:strCache>
                <c:ptCount val="1"/>
                <c:pt idx="0">
                  <c:v>Anglerfish</c:v>
                </c:pt>
              </c:strCache>
            </c:strRef>
          </c:tx>
          <c:spPr>
            <a:solidFill>
              <a:srgbClr val="C1D119"/>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10-24m'!$I$166:$K$166</c:f>
              <c:numCache>
                <c:formatCode>0%</c:formatCode>
                <c:ptCount val="3"/>
                <c:pt idx="0">
                  <c:v>7.5715529913788826E-2</c:v>
                </c:pt>
                <c:pt idx="1">
                  <c:v>0.13290704826151994</c:v>
                </c:pt>
                <c:pt idx="2">
                  <c:v>9.0620923406225254E-2</c:v>
                </c:pt>
              </c:numCache>
            </c:numRef>
          </c:val>
          <c:extLst>
            <c:ext xmlns:c16="http://schemas.microsoft.com/office/drawing/2014/chart" uri="{C3380CC4-5D6E-409C-BE32-E72D297353CC}">
              <c16:uniqueId val="{00000003-AD53-49F7-83BF-026FD1D4F790}"/>
            </c:ext>
          </c:extLst>
        </c:ser>
        <c:ser>
          <c:idx val="4"/>
          <c:order val="4"/>
          <c:tx>
            <c:strRef>
              <c:f>'Area VIIb-k trawlers 10-24m'!$H$167</c:f>
              <c:strCache>
                <c:ptCount val="1"/>
                <c:pt idx="0">
                  <c:v>Plaice</c:v>
                </c:pt>
              </c:strCache>
            </c:strRef>
          </c:tx>
          <c:spPr>
            <a:solidFill>
              <a:srgbClr val="707271"/>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10-24m'!$I$167:$K$167</c:f>
              <c:numCache>
                <c:formatCode>0%</c:formatCode>
                <c:ptCount val="3"/>
                <c:pt idx="0">
                  <c:v>0</c:v>
                </c:pt>
                <c:pt idx="1">
                  <c:v>7.4205335493083821E-2</c:v>
                </c:pt>
                <c:pt idx="2">
                  <c:v>9.2438048068067741E-2</c:v>
                </c:pt>
              </c:numCache>
            </c:numRef>
          </c:val>
          <c:extLst>
            <c:ext xmlns:c16="http://schemas.microsoft.com/office/drawing/2014/chart" uri="{C3380CC4-5D6E-409C-BE32-E72D297353CC}">
              <c16:uniqueId val="{00000004-AD53-49F7-83BF-026FD1D4F790}"/>
            </c:ext>
          </c:extLst>
        </c:ser>
        <c:ser>
          <c:idx val="5"/>
          <c:order val="5"/>
          <c:tx>
            <c:strRef>
              <c:f>'Area VIIb-k trawlers 10-24m'!$H$168</c:f>
              <c:strCache>
                <c:ptCount val="1"/>
                <c:pt idx="0">
                  <c:v>Blonde Ray</c:v>
                </c:pt>
              </c:strCache>
            </c:strRef>
          </c:tx>
          <c:spPr>
            <a:solidFill>
              <a:srgbClr val="E84A38"/>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10-24m'!$I$168:$K$168</c:f>
              <c:numCache>
                <c:formatCode>0%</c:formatCode>
                <c:ptCount val="3"/>
                <c:pt idx="0">
                  <c:v>9.9342294845343848E-2</c:v>
                </c:pt>
                <c:pt idx="1">
                  <c:v>0</c:v>
                </c:pt>
                <c:pt idx="2">
                  <c:v>0</c:v>
                </c:pt>
              </c:numCache>
            </c:numRef>
          </c:val>
          <c:extLst>
            <c:ext xmlns:c16="http://schemas.microsoft.com/office/drawing/2014/chart" uri="{C3380CC4-5D6E-409C-BE32-E72D297353CC}">
              <c16:uniqueId val="{00000005-AD53-49F7-83BF-026FD1D4F790}"/>
            </c:ext>
          </c:extLst>
        </c:ser>
        <c:ser>
          <c:idx val="6"/>
          <c:order val="6"/>
          <c:tx>
            <c:strRef>
              <c:f>'Area VIIb-k trawlers 10-24m'!$H$169</c:f>
              <c:strCache>
                <c:ptCount val="1"/>
                <c:pt idx="0">
                  <c:v>Others</c:v>
                </c:pt>
              </c:strCache>
            </c:strRef>
          </c:tx>
          <c:spPr>
            <a:solidFill>
              <a:srgbClr val="55585A"/>
            </a:solidFill>
            <a:ln>
              <a:solidFill>
                <a:srgbClr val="FFFFFF"/>
              </a:solidFill>
            </a:ln>
          </c:spPr>
          <c:invertIfNegative val="0"/>
          <c:cat>
            <c:strRef>
              <c:f>'Area VIIb-k trawlers 10-24m'!$I$162:$K$162</c:f>
              <c:strCache>
                <c:ptCount val="3"/>
                <c:pt idx="0">
                  <c:v>Most
profitable
quartile</c:v>
                </c:pt>
                <c:pt idx="1">
                  <c:v>Middle 
two quartiles</c:v>
                </c:pt>
                <c:pt idx="2">
                  <c:v>Least
profitable
quartile</c:v>
                </c:pt>
              </c:strCache>
            </c:strRef>
          </c:cat>
          <c:val>
            <c:numRef>
              <c:f>'Area VIIb-k trawlers 10-24m'!$I$169:$K$169</c:f>
              <c:numCache>
                <c:formatCode>0%</c:formatCode>
                <c:ptCount val="3"/>
                <c:pt idx="0">
                  <c:v>0.41313606213295995</c:v>
                </c:pt>
                <c:pt idx="1">
                  <c:v>0.29217930942935499</c:v>
                </c:pt>
                <c:pt idx="2">
                  <c:v>0.38559751932353747</c:v>
                </c:pt>
              </c:numCache>
            </c:numRef>
          </c:val>
          <c:extLst>
            <c:ext xmlns:c16="http://schemas.microsoft.com/office/drawing/2014/chart" uri="{C3380CC4-5D6E-409C-BE32-E72D297353CC}">
              <c16:uniqueId val="{00000006-AD53-49F7-83BF-026FD1D4F79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trawl'!$K$63</c:f>
          <c:strCache>
            <c:ptCount val="1"/>
            <c:pt idx="0">
              <c:v>Average annual operating profit per vessel (£'000)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6F1-4496-9A95-87CDDCAAD4A3}"/>
              </c:ext>
            </c:extLst>
          </c:dPt>
          <c:dPt>
            <c:idx val="10"/>
            <c:bubble3D val="0"/>
            <c:spPr>
              <a:ln w="57150">
                <a:solidFill>
                  <a:schemeClr val="accent5"/>
                </a:solidFill>
                <a:prstDash val="sysDot"/>
              </a:ln>
            </c:spPr>
            <c:extLst>
              <c:ext xmlns:c16="http://schemas.microsoft.com/office/drawing/2014/chart" uri="{C3380CC4-5D6E-409C-BE32-E72D297353CC}">
                <c16:uniqueId val="{00000003-C6F1-4496-9A95-87CDDCAAD4A3}"/>
              </c:ext>
            </c:extLst>
          </c:dPt>
          <c:cat>
            <c:numRef>
              <c:f>'Area VIIa demersal trawl'!$D$2:$M$2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trawl'!$D$38:$N$38</c:f>
              <c:numCache>
                <c:formatCode>#,##0.0</c:formatCode>
                <c:ptCount val="11"/>
                <c:pt idx="0">
                  <c:v>13.9</c:v>
                </c:pt>
                <c:pt idx="1">
                  <c:v>19.7</c:v>
                </c:pt>
                <c:pt idx="2">
                  <c:v>28.2</c:v>
                </c:pt>
                <c:pt idx="3">
                  <c:v>31.8</c:v>
                </c:pt>
                <c:pt idx="4">
                  <c:v>57.9</c:v>
                </c:pt>
                <c:pt idx="5">
                  <c:v>70.5</c:v>
                </c:pt>
                <c:pt idx="6">
                  <c:v>74</c:v>
                </c:pt>
                <c:pt idx="7">
                  <c:v>102.4</c:v>
                </c:pt>
                <c:pt idx="8">
                  <c:v>27.8</c:v>
                </c:pt>
                <c:pt idx="9">
                  <c:v>39.4</c:v>
                </c:pt>
                <c:pt idx="10">
                  <c:v>2.9</c:v>
                </c:pt>
              </c:numCache>
            </c:numRef>
          </c:val>
          <c:smooth val="0"/>
          <c:extLst>
            <c:ext xmlns:c16="http://schemas.microsoft.com/office/drawing/2014/chart" uri="{C3380CC4-5D6E-409C-BE32-E72D297353CC}">
              <c16:uniqueId val="{00000004-C6F1-4496-9A95-87CDDCAAD4A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10-24m'!$K$140</c:f>
              <c:strCache>
                <c:ptCount val="1"/>
                <c:pt idx="0">
                  <c:v>Total income</c:v>
                </c:pt>
              </c:strCache>
            </c:strRef>
          </c:tx>
          <c:spPr>
            <a:solidFill>
              <a:srgbClr val="087CBB"/>
            </a:solidFill>
            <a:ln>
              <a:solidFill>
                <a:schemeClr val="accent1"/>
              </a:solidFill>
            </a:ln>
          </c:spPr>
          <c:invertIfNegative val="0"/>
          <c:cat>
            <c:strRef>
              <c:f>'Area VIIb-k trawlers 10-24m'!$L$139:$N$139</c:f>
              <c:strCache>
                <c:ptCount val="3"/>
                <c:pt idx="0">
                  <c:v>Most
profitable
quartile</c:v>
                </c:pt>
                <c:pt idx="1">
                  <c:v>Middle
two quartiles</c:v>
                </c:pt>
                <c:pt idx="2">
                  <c:v>Least
profitable
quartile</c:v>
                </c:pt>
              </c:strCache>
            </c:strRef>
          </c:cat>
          <c:val>
            <c:numRef>
              <c:f>'Area VIIb-k trawlers 10-24m'!$L$140:$N$140</c:f>
              <c:numCache>
                <c:formatCode>#,##0</c:formatCode>
                <c:ptCount val="3"/>
                <c:pt idx="0">
                  <c:v>379.85468750000001</c:v>
                </c:pt>
                <c:pt idx="1">
                  <c:v>153.0699140625</c:v>
                </c:pt>
                <c:pt idx="2">
                  <c:v>67.999109375000003</c:v>
                </c:pt>
              </c:numCache>
            </c:numRef>
          </c:val>
          <c:extLst>
            <c:ext xmlns:c16="http://schemas.microsoft.com/office/drawing/2014/chart" uri="{C3380CC4-5D6E-409C-BE32-E72D297353CC}">
              <c16:uniqueId val="{00000000-305C-44ED-A8D9-09B9C28C6A92}"/>
            </c:ext>
          </c:extLst>
        </c:ser>
        <c:ser>
          <c:idx val="1"/>
          <c:order val="1"/>
          <c:tx>
            <c:strRef>
              <c:f>'Area VIIb-k trawlers 10-24m'!$K$141</c:f>
              <c:strCache>
                <c:ptCount val="1"/>
                <c:pt idx="0">
                  <c:v>Operating costs</c:v>
                </c:pt>
              </c:strCache>
            </c:strRef>
          </c:tx>
          <c:spPr>
            <a:solidFill>
              <a:srgbClr val="E87308"/>
            </a:solidFill>
          </c:spPr>
          <c:invertIfNegative val="0"/>
          <c:cat>
            <c:strRef>
              <c:f>'Area VIIb-k trawlers 10-24m'!$L$139:$N$139</c:f>
              <c:strCache>
                <c:ptCount val="3"/>
                <c:pt idx="0">
                  <c:v>Most
profitable
quartile</c:v>
                </c:pt>
                <c:pt idx="1">
                  <c:v>Middle
two quartiles</c:v>
                </c:pt>
                <c:pt idx="2">
                  <c:v>Least
profitable
quartile</c:v>
                </c:pt>
              </c:strCache>
            </c:strRef>
          </c:cat>
          <c:val>
            <c:numRef>
              <c:f>'Area VIIb-k trawlers 10-24m'!$L$141:$N$141</c:f>
              <c:numCache>
                <c:formatCode>#,##0</c:formatCode>
                <c:ptCount val="3"/>
                <c:pt idx="0">
                  <c:v>282.5666875</c:v>
                </c:pt>
                <c:pt idx="1">
                  <c:v>126.57718359374999</c:v>
                </c:pt>
                <c:pt idx="2">
                  <c:v>67.329671875000003</c:v>
                </c:pt>
              </c:numCache>
            </c:numRef>
          </c:val>
          <c:extLst>
            <c:ext xmlns:c16="http://schemas.microsoft.com/office/drawing/2014/chart" uri="{C3380CC4-5D6E-409C-BE32-E72D297353CC}">
              <c16:uniqueId val="{00000001-305C-44ED-A8D9-09B9C28C6A92}"/>
            </c:ext>
          </c:extLst>
        </c:ser>
        <c:ser>
          <c:idx val="2"/>
          <c:order val="2"/>
          <c:tx>
            <c:strRef>
              <c:f>'Area VIIb-k trawlers 10-24m'!$K$142</c:f>
              <c:strCache>
                <c:ptCount val="1"/>
                <c:pt idx="0">
                  <c:v>Operating profit</c:v>
                </c:pt>
              </c:strCache>
            </c:strRef>
          </c:tx>
          <c:spPr>
            <a:solidFill>
              <a:srgbClr val="51AA81"/>
            </a:solidFill>
          </c:spPr>
          <c:invertIfNegative val="0"/>
          <c:cat>
            <c:strRef>
              <c:f>'Area VIIb-k trawlers 10-24m'!$L$139:$N$139</c:f>
              <c:strCache>
                <c:ptCount val="3"/>
                <c:pt idx="0">
                  <c:v>Most
profitable
quartile</c:v>
                </c:pt>
                <c:pt idx="1">
                  <c:v>Middle
two quartiles</c:v>
                </c:pt>
                <c:pt idx="2">
                  <c:v>Least
profitable
quartile</c:v>
                </c:pt>
              </c:strCache>
            </c:strRef>
          </c:cat>
          <c:val>
            <c:numRef>
              <c:f>'Area VIIb-k trawlers 10-24m'!$L$142:$N$142</c:f>
              <c:numCache>
                <c:formatCode>#,##0</c:formatCode>
                <c:ptCount val="3"/>
                <c:pt idx="0">
                  <c:v>97.287999999999997</c:v>
                </c:pt>
                <c:pt idx="1">
                  <c:v>26.49273046875</c:v>
                </c:pt>
                <c:pt idx="2">
                  <c:v>0.66943750000000002</c:v>
                </c:pt>
              </c:numCache>
            </c:numRef>
          </c:val>
          <c:extLst>
            <c:ext xmlns:c16="http://schemas.microsoft.com/office/drawing/2014/chart" uri="{C3380CC4-5D6E-409C-BE32-E72D297353CC}">
              <c16:uniqueId val="{00000002-305C-44ED-A8D9-09B9C28C6A92}"/>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VIIb-k trawlers 10-24m'!$K$143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netters'!$A$49</c:f>
          <c:strCache>
            <c:ptCount val="1"/>
            <c:pt idx="0">
              <c:v>Landings per kW day at sea (kg)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5DF-469A-A868-028828D77C23}"/>
              </c:ext>
            </c:extLst>
          </c:dPt>
          <c:dPt>
            <c:idx val="10"/>
            <c:bubble3D val="0"/>
            <c:spPr>
              <a:ln w="57150">
                <a:solidFill>
                  <a:srgbClr val="2273B9"/>
                </a:solidFill>
                <a:prstDash val="sysDot"/>
              </a:ln>
            </c:spPr>
            <c:extLst>
              <c:ext xmlns:c16="http://schemas.microsoft.com/office/drawing/2014/chart" uri="{C3380CC4-5D6E-409C-BE32-E72D297353CC}">
                <c16:uniqueId val="{00000003-15DF-469A-A868-028828D77C23}"/>
              </c:ext>
            </c:extLst>
          </c:dPt>
          <c:cat>
            <c:numRef>
              <c:f>'Gill netters'!$D$2:$N$2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'Gill netters'!$D$22:$N$22</c:f>
              <c:numCache>
                <c:formatCode>#,##0.00</c:formatCode>
                <c:ptCount val="11"/>
                <c:pt idx="0">
                  <c:v>3.7437948670724865</c:v>
                </c:pt>
                <c:pt idx="1">
                  <c:v>3.8668642969403821</c:v>
                </c:pt>
                <c:pt idx="2">
                  <c:v>3.8573823137558154</c:v>
                </c:pt>
                <c:pt idx="3">
                  <c:v>3.5905692295931111</c:v>
                </c:pt>
                <c:pt idx="4">
                  <c:v>4.0660049621417915</c:v>
                </c:pt>
                <c:pt idx="5">
                  <c:v>4.4926117866546091</c:v>
                </c:pt>
                <c:pt idx="6">
                  <c:v>5.1236090623234993</c:v>
                </c:pt>
                <c:pt idx="7">
                  <c:v>5.0820043550347087</c:v>
                </c:pt>
                <c:pt idx="8">
                  <c:v>4.6703386620145713</c:v>
                </c:pt>
                <c:pt idx="9">
                  <c:v>4.6857723014313786</c:v>
                </c:pt>
                <c:pt idx="10">
                  <c:v>4.6981278737864303</c:v>
                </c:pt>
              </c:numCache>
            </c:numRef>
          </c:val>
          <c:smooth val="0"/>
          <c:extLst>
            <c:ext xmlns:c16="http://schemas.microsoft.com/office/drawing/2014/chart" uri="{C3380CC4-5D6E-409C-BE32-E72D297353CC}">
              <c16:uniqueId val="{00000004-15DF-469A-A868-028828D77C23}"/>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netters'!$A$50</c:f>
          <c:strCache>
            <c:ptCount val="1"/>
            <c:pt idx="0">
              <c:v>Fishing income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185-41D9-981A-370617C82EB1}"/>
              </c:ext>
            </c:extLst>
          </c:dPt>
          <c:dPt>
            <c:idx val="10"/>
            <c:bubble3D val="0"/>
            <c:spPr>
              <a:ln w="57150">
                <a:solidFill>
                  <a:srgbClr val="648C2E"/>
                </a:solidFill>
                <a:prstDash val="sysDot"/>
              </a:ln>
            </c:spPr>
            <c:extLst>
              <c:ext xmlns:c16="http://schemas.microsoft.com/office/drawing/2014/chart" uri="{C3380CC4-5D6E-409C-BE32-E72D297353CC}">
                <c16:uniqueId val="{00000003-4185-41D9-981A-370617C82EB1}"/>
              </c:ext>
            </c:extLst>
          </c:dPt>
          <c:cat>
            <c:numRef>
              <c:f>'Gill netters'!$D$2:$N$2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'Gill netters'!$D$23:$N$23</c:f>
              <c:numCache>
                <c:formatCode>#,##0.00</c:formatCode>
                <c:ptCount val="11"/>
                <c:pt idx="0">
                  <c:v>10.029906616819501</c:v>
                </c:pt>
                <c:pt idx="1">
                  <c:v>8.8161282278464306</c:v>
                </c:pt>
                <c:pt idx="2">
                  <c:v>9.9731814076964405</c:v>
                </c:pt>
                <c:pt idx="3">
                  <c:v>9.3565056463828</c:v>
                </c:pt>
                <c:pt idx="4">
                  <c:v>10.7008523293494</c:v>
                </c:pt>
                <c:pt idx="5">
                  <c:v>9.4180110429281996</c:v>
                </c:pt>
                <c:pt idx="6">
                  <c:v>10.0618822633958</c:v>
                </c:pt>
                <c:pt idx="7">
                  <c:v>13.578365436195099</c:v>
                </c:pt>
                <c:pt idx="8">
                  <c:v>8.5278021286049199</c:v>
                </c:pt>
                <c:pt idx="9">
                  <c:v>10.3157251126449</c:v>
                </c:pt>
                <c:pt idx="10">
                  <c:v>10.046522546715549</c:v>
                </c:pt>
              </c:numCache>
            </c:numRef>
          </c:val>
          <c:smooth val="0"/>
          <c:extLst>
            <c:ext xmlns:c16="http://schemas.microsoft.com/office/drawing/2014/chart" uri="{C3380CC4-5D6E-409C-BE32-E72D297353CC}">
              <c16:uniqueId val="{00000004-4185-41D9-981A-370617C82EB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netters'!$B$63</c:f>
          <c:strCache>
            <c:ptCount val="1"/>
            <c:pt idx="0">
              <c:v>Total cost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817D-4753-8730-36AA7BB277C9}"/>
              </c:ext>
            </c:extLst>
          </c:dPt>
          <c:dPt>
            <c:idx val="10"/>
            <c:bubble3D val="0"/>
            <c:spPr>
              <a:ln w="57150">
                <a:solidFill>
                  <a:srgbClr val="087CBB"/>
                </a:solidFill>
                <a:prstDash val="sysDot"/>
              </a:ln>
            </c:spPr>
            <c:extLst>
              <c:ext xmlns:c16="http://schemas.microsoft.com/office/drawing/2014/chart" uri="{C3380CC4-5D6E-409C-BE32-E72D297353CC}">
                <c16:uniqueId val="{00000003-817D-4753-8730-36AA7BB277C9}"/>
              </c:ext>
            </c:extLst>
          </c:dPt>
          <c:cat>
            <c:numRef>
              <c:f>'Gill netters'!$D$2:$N$2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'Gill netters'!$D$24:$N$24</c:f>
              <c:numCache>
                <c:formatCode>#,##0.00</c:formatCode>
                <c:ptCount val="11"/>
                <c:pt idx="0">
                  <c:v>7.6585410218151999</c:v>
                </c:pt>
                <c:pt idx="1">
                  <c:v>7.8167527095112996</c:v>
                </c:pt>
                <c:pt idx="2">
                  <c:v>7.71807071517099</c:v>
                </c:pt>
                <c:pt idx="3">
                  <c:v>7.0154994969151101</c:v>
                </c:pt>
                <c:pt idx="4">
                  <c:v>8.5077944852809892</c:v>
                </c:pt>
                <c:pt idx="5">
                  <c:v>8.2411429759563593</c:v>
                </c:pt>
                <c:pt idx="6">
                  <c:v>8.5099990931992497</c:v>
                </c:pt>
                <c:pt idx="7">
                  <c:v>11.8680372254956</c:v>
                </c:pt>
                <c:pt idx="8">
                  <c:v>7.8537166770121498</c:v>
                </c:pt>
                <c:pt idx="9">
                  <c:v>9.1418078798863007</c:v>
                </c:pt>
                <c:pt idx="10">
                  <c:v>9.141483457514255</c:v>
                </c:pt>
              </c:numCache>
            </c:numRef>
          </c:val>
          <c:smooth val="0"/>
          <c:extLst>
            <c:ext xmlns:c16="http://schemas.microsoft.com/office/drawing/2014/chart" uri="{C3380CC4-5D6E-409C-BE32-E72D297353CC}">
              <c16:uniqueId val="{00000004-817D-4753-8730-36AA7BB277C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netters'!$K$49</c:f>
          <c:strCache>
            <c:ptCount val="1"/>
            <c:pt idx="0">
              <c:v>Operating profit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0E66-4B06-BF94-8CBF5E3CE93C}"/>
              </c:ext>
            </c:extLst>
          </c:dPt>
          <c:dPt>
            <c:idx val="10"/>
            <c:bubble3D val="0"/>
            <c:spPr>
              <a:ln w="57150">
                <a:solidFill>
                  <a:schemeClr val="accent3"/>
                </a:solidFill>
                <a:prstDash val="sysDot"/>
              </a:ln>
            </c:spPr>
            <c:extLst>
              <c:ext xmlns:c16="http://schemas.microsoft.com/office/drawing/2014/chart" uri="{C3380CC4-5D6E-409C-BE32-E72D297353CC}">
                <c16:uniqueId val="{00000003-0E66-4B06-BF94-8CBF5E3CE93C}"/>
              </c:ext>
            </c:extLst>
          </c:dPt>
          <c:cat>
            <c:numRef>
              <c:f>'Gill netters'!$D$2:$N$2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'Gill netters'!$D$25:$N$25</c:f>
              <c:numCache>
                <c:formatCode>#,##0.00</c:formatCode>
                <c:ptCount val="11"/>
                <c:pt idx="0">
                  <c:v>2.37136559500426</c:v>
                </c:pt>
                <c:pt idx="1">
                  <c:v>0.99937551833513105</c:v>
                </c:pt>
                <c:pt idx="2">
                  <c:v>2.6658550307434199</c:v>
                </c:pt>
                <c:pt idx="3">
                  <c:v>3.1981829332288001</c:v>
                </c:pt>
                <c:pt idx="4">
                  <c:v>2.1933257045988301</c:v>
                </c:pt>
                <c:pt idx="5">
                  <c:v>1.23321863492066</c:v>
                </c:pt>
                <c:pt idx="6">
                  <c:v>1.5519374069709999</c:v>
                </c:pt>
                <c:pt idx="7">
                  <c:v>1.7351072376410599</c:v>
                </c:pt>
                <c:pt idx="8">
                  <c:v>0.80285141555413797</c:v>
                </c:pt>
                <c:pt idx="9">
                  <c:v>1.28784155723603</c:v>
                </c:pt>
                <c:pt idx="10">
                  <c:v>1.0159904083995699</c:v>
                </c:pt>
              </c:numCache>
            </c:numRef>
          </c:val>
          <c:smooth val="0"/>
          <c:extLst>
            <c:ext xmlns:c16="http://schemas.microsoft.com/office/drawing/2014/chart" uri="{C3380CC4-5D6E-409C-BE32-E72D297353CC}">
              <c16:uniqueId val="{00000004-0E66-4B06-BF94-8CBF5E3CE93C}"/>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netters'!$A$51</c:f>
          <c:strCache>
            <c:ptCount val="1"/>
            <c:pt idx="0">
              <c:v>Average price per tonne landed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2BF9-47E9-836A-0082430DFCB9}"/>
              </c:ext>
            </c:extLst>
          </c:dPt>
          <c:dPt>
            <c:idx val="10"/>
            <c:bubble3D val="0"/>
            <c:spPr>
              <a:ln w="57150">
                <a:solidFill>
                  <a:schemeClr val="accent4"/>
                </a:solidFill>
                <a:prstDash val="sysDot"/>
              </a:ln>
            </c:spPr>
            <c:extLst>
              <c:ext xmlns:c16="http://schemas.microsoft.com/office/drawing/2014/chart" uri="{C3380CC4-5D6E-409C-BE32-E72D297353CC}">
                <c16:uniqueId val="{00000003-2BF9-47E9-836A-0082430DFCB9}"/>
              </c:ext>
            </c:extLst>
          </c:dPt>
          <c:cat>
            <c:numRef>
              <c:f>'Gill netters'!$D$2:$M$2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netters'!$D$21:$N$21</c:f>
              <c:numCache>
                <c:formatCode>#,##0</c:formatCode>
                <c:ptCount val="11"/>
                <c:pt idx="0">
                  <c:v>2679</c:v>
                </c:pt>
                <c:pt idx="1">
                  <c:v>2280</c:v>
                </c:pt>
                <c:pt idx="2">
                  <c:v>2585</c:v>
                </c:pt>
                <c:pt idx="3">
                  <c:v>2606</c:v>
                </c:pt>
                <c:pt idx="4">
                  <c:v>2632</c:v>
                </c:pt>
                <c:pt idx="5">
                  <c:v>2096</c:v>
                </c:pt>
                <c:pt idx="6">
                  <c:v>1964</c:v>
                </c:pt>
                <c:pt idx="7">
                  <c:v>2672</c:v>
                </c:pt>
                <c:pt idx="8">
                  <c:v>1826</c:v>
                </c:pt>
                <c:pt idx="9">
                  <c:v>2201</c:v>
                </c:pt>
                <c:pt idx="10">
                  <c:v>2138</c:v>
                </c:pt>
              </c:numCache>
            </c:numRef>
          </c:val>
          <c:smooth val="0"/>
          <c:extLst>
            <c:ext xmlns:c16="http://schemas.microsoft.com/office/drawing/2014/chart" uri="{C3380CC4-5D6E-409C-BE32-E72D297353CC}">
              <c16:uniqueId val="{00000004-2BF9-47E9-836A-0082430DFCB9}"/>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netters'!$K$63</c:f>
          <c:strCache>
            <c:ptCount val="1"/>
            <c:pt idx="0">
              <c:v>Average annual operating profit per vessel (£'000)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9480-48A6-BD7A-61947F35821C}"/>
              </c:ext>
            </c:extLst>
          </c:dPt>
          <c:dPt>
            <c:idx val="10"/>
            <c:bubble3D val="0"/>
            <c:spPr>
              <a:ln w="57150">
                <a:solidFill>
                  <a:schemeClr val="accent5"/>
                </a:solidFill>
                <a:prstDash val="sysDot"/>
              </a:ln>
            </c:spPr>
            <c:extLst>
              <c:ext xmlns:c16="http://schemas.microsoft.com/office/drawing/2014/chart" uri="{C3380CC4-5D6E-409C-BE32-E72D297353CC}">
                <c16:uniqueId val="{00000003-9480-48A6-BD7A-61947F35821C}"/>
              </c:ext>
            </c:extLst>
          </c:dPt>
          <c:cat>
            <c:numRef>
              <c:f>'Gill netters'!$D$2:$M$2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netters'!$D$38:$N$38</c:f>
              <c:numCache>
                <c:formatCode>#,##0.0</c:formatCode>
                <c:ptCount val="11"/>
                <c:pt idx="0">
                  <c:v>141.30000000000001</c:v>
                </c:pt>
                <c:pt idx="1">
                  <c:v>66.099999999999994</c:v>
                </c:pt>
                <c:pt idx="2">
                  <c:v>170.9</c:v>
                </c:pt>
                <c:pt idx="3">
                  <c:v>221.3</c:v>
                </c:pt>
                <c:pt idx="4">
                  <c:v>144.30000000000001</c:v>
                </c:pt>
                <c:pt idx="5">
                  <c:v>69.900000000000006</c:v>
                </c:pt>
                <c:pt idx="6">
                  <c:v>97.7</c:v>
                </c:pt>
                <c:pt idx="7">
                  <c:v>104.8</c:v>
                </c:pt>
                <c:pt idx="8">
                  <c:v>51.8</c:v>
                </c:pt>
                <c:pt idx="9">
                  <c:v>76.5</c:v>
                </c:pt>
                <c:pt idx="10">
                  <c:v>65.7</c:v>
                </c:pt>
              </c:numCache>
            </c:numRef>
          </c:val>
          <c:smooth val="0"/>
          <c:extLst>
            <c:ext xmlns:c16="http://schemas.microsoft.com/office/drawing/2014/chart" uri="{C3380CC4-5D6E-409C-BE32-E72D297353CC}">
              <c16:uniqueId val="{00000004-9480-48A6-BD7A-61947F35821C}"/>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netters'!$A$77</c:f>
          <c:strCache>
            <c:ptCount val="1"/>
            <c:pt idx="0">
              <c:v>Top 5 landed species by volume in 2021
Gill netters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4ED-4FAE-8ACA-D55EB564CB80}"/>
              </c:ext>
            </c:extLst>
          </c:dPt>
          <c:dPt>
            <c:idx val="1"/>
            <c:bubble3D val="0"/>
            <c:spPr>
              <a:solidFill>
                <a:srgbClr val="E84A38"/>
              </a:solidFill>
              <a:ln>
                <a:solidFill>
                  <a:srgbClr val="FFFFFF"/>
                </a:solidFill>
              </a:ln>
            </c:spPr>
            <c:extLst>
              <c:ext xmlns:c16="http://schemas.microsoft.com/office/drawing/2014/chart" uri="{C3380CC4-5D6E-409C-BE32-E72D297353CC}">
                <c16:uniqueId val="{00000003-64ED-4FAE-8ACA-D55EB564CB80}"/>
              </c:ext>
            </c:extLst>
          </c:dPt>
          <c:dPt>
            <c:idx val="2"/>
            <c:bubble3D val="0"/>
            <c:spPr>
              <a:solidFill>
                <a:srgbClr val="E87308"/>
              </a:solidFill>
              <a:ln>
                <a:solidFill>
                  <a:srgbClr val="FFFFFF"/>
                </a:solidFill>
              </a:ln>
            </c:spPr>
            <c:extLst>
              <c:ext xmlns:c16="http://schemas.microsoft.com/office/drawing/2014/chart" uri="{C3380CC4-5D6E-409C-BE32-E72D297353CC}">
                <c16:uniqueId val="{00000005-64ED-4FAE-8ACA-D55EB564CB80}"/>
              </c:ext>
            </c:extLst>
          </c:dPt>
          <c:dPt>
            <c:idx val="3"/>
            <c:bubble3D val="0"/>
            <c:spPr>
              <a:solidFill>
                <a:srgbClr val="C1D119"/>
              </a:solidFill>
              <a:ln>
                <a:solidFill>
                  <a:srgbClr val="FFFFFF"/>
                </a:solidFill>
              </a:ln>
            </c:spPr>
            <c:extLst>
              <c:ext xmlns:c16="http://schemas.microsoft.com/office/drawing/2014/chart" uri="{C3380CC4-5D6E-409C-BE32-E72D297353CC}">
                <c16:uniqueId val="{00000007-64ED-4FAE-8ACA-D55EB564CB80}"/>
              </c:ext>
            </c:extLst>
          </c:dPt>
          <c:dPt>
            <c:idx val="4"/>
            <c:bubble3D val="0"/>
            <c:spPr>
              <a:solidFill>
                <a:srgbClr val="0F9AA9"/>
              </a:solidFill>
              <a:ln>
                <a:solidFill>
                  <a:srgbClr val="FFFFFF"/>
                </a:solidFill>
              </a:ln>
            </c:spPr>
            <c:extLst>
              <c:ext xmlns:c16="http://schemas.microsoft.com/office/drawing/2014/chart" uri="{C3380CC4-5D6E-409C-BE32-E72D297353CC}">
                <c16:uniqueId val="{00000009-64ED-4FAE-8ACA-D55EB564CB80}"/>
              </c:ext>
            </c:extLst>
          </c:dPt>
          <c:dPt>
            <c:idx val="5"/>
            <c:bubble3D val="0"/>
            <c:spPr>
              <a:solidFill>
                <a:srgbClr val="55585A"/>
              </a:solidFill>
              <a:ln>
                <a:solidFill>
                  <a:srgbClr val="FFFFFF"/>
                </a:solidFill>
              </a:ln>
            </c:spPr>
            <c:extLst>
              <c:ext xmlns:c16="http://schemas.microsoft.com/office/drawing/2014/chart" uri="{C3380CC4-5D6E-409C-BE32-E72D297353CC}">
                <c16:uniqueId val="{0000000B-64ED-4FAE-8ACA-D55EB564CB80}"/>
              </c:ext>
            </c:extLst>
          </c:dPt>
          <c:cat>
            <c:strRef>
              <c:f>'Gill netters'!$B$78:$B$83</c:f>
              <c:strCache>
                <c:ptCount val="6"/>
                <c:pt idx="0">
                  <c:v>Anglerfish - 38.8%</c:v>
                </c:pt>
                <c:pt idx="1">
                  <c:v>Pilchards - 27.3%</c:v>
                </c:pt>
                <c:pt idx="2">
                  <c:v>Hake - 18.1%</c:v>
                </c:pt>
                <c:pt idx="3">
                  <c:v>Pollack - 4.3%</c:v>
                </c:pt>
                <c:pt idx="4">
                  <c:v>Spurdog - 2.1%</c:v>
                </c:pt>
                <c:pt idx="5">
                  <c:v>Others - 9.5%</c:v>
                </c:pt>
              </c:strCache>
            </c:strRef>
          </c:cat>
          <c:val>
            <c:numRef>
              <c:f>'Gill netters'!$C$78:$C$83</c:f>
              <c:numCache>
                <c:formatCode>0.0%</c:formatCode>
                <c:ptCount val="6"/>
                <c:pt idx="0">
                  <c:v>0.38758938161337614</c:v>
                </c:pt>
                <c:pt idx="1">
                  <c:v>0.27272626110808451</c:v>
                </c:pt>
                <c:pt idx="2">
                  <c:v>0.1809374998735476</c:v>
                </c:pt>
                <c:pt idx="3">
                  <c:v>4.3103066157062379E-2</c:v>
                </c:pt>
                <c:pt idx="4">
                  <c:v>2.0734163742300398E-2</c:v>
                </c:pt>
                <c:pt idx="5">
                  <c:v>9.4909627505628924E-2</c:v>
                </c:pt>
              </c:numCache>
            </c:numRef>
          </c:val>
          <c:extLst>
            <c:ext xmlns:c16="http://schemas.microsoft.com/office/drawing/2014/chart" uri="{C3380CC4-5D6E-409C-BE32-E72D297353CC}">
              <c16:uniqueId val="{0000000C-64ED-4FAE-8ACA-D55EB564CB8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netters'!$F$77</c:f>
          <c:strCache>
            <c:ptCount val="1"/>
            <c:pt idx="0">
              <c:v>Top 5 landed species by value in 2021
Gill netters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7F5-4617-8659-7B3D8E0DA1E9}"/>
              </c:ext>
            </c:extLst>
          </c:dPt>
          <c:dPt>
            <c:idx val="1"/>
            <c:bubble3D val="0"/>
            <c:spPr>
              <a:solidFill>
                <a:srgbClr val="E87308"/>
              </a:solidFill>
              <a:ln>
                <a:solidFill>
                  <a:srgbClr val="FFFFFF"/>
                </a:solidFill>
              </a:ln>
            </c:spPr>
            <c:extLst>
              <c:ext xmlns:c16="http://schemas.microsoft.com/office/drawing/2014/chart" uri="{C3380CC4-5D6E-409C-BE32-E72D297353CC}">
                <c16:uniqueId val="{00000003-67F5-4617-8659-7B3D8E0DA1E9}"/>
              </c:ext>
            </c:extLst>
          </c:dPt>
          <c:dPt>
            <c:idx val="2"/>
            <c:bubble3D val="0"/>
            <c:spPr>
              <a:solidFill>
                <a:srgbClr val="648C2E"/>
              </a:solidFill>
              <a:ln>
                <a:solidFill>
                  <a:srgbClr val="FFFFFF"/>
                </a:solidFill>
              </a:ln>
            </c:spPr>
            <c:extLst>
              <c:ext xmlns:c16="http://schemas.microsoft.com/office/drawing/2014/chart" uri="{C3380CC4-5D6E-409C-BE32-E72D297353CC}">
                <c16:uniqueId val="{00000005-67F5-4617-8659-7B3D8E0DA1E9}"/>
              </c:ext>
            </c:extLst>
          </c:dPt>
          <c:dPt>
            <c:idx val="3"/>
            <c:bubble3D val="0"/>
            <c:spPr>
              <a:solidFill>
                <a:srgbClr val="C1D119"/>
              </a:solidFill>
              <a:ln>
                <a:solidFill>
                  <a:srgbClr val="FFFFFF"/>
                </a:solidFill>
              </a:ln>
            </c:spPr>
            <c:extLst>
              <c:ext xmlns:c16="http://schemas.microsoft.com/office/drawing/2014/chart" uri="{C3380CC4-5D6E-409C-BE32-E72D297353CC}">
                <c16:uniqueId val="{00000007-67F5-4617-8659-7B3D8E0DA1E9}"/>
              </c:ext>
            </c:extLst>
          </c:dPt>
          <c:dPt>
            <c:idx val="4"/>
            <c:bubble3D val="0"/>
            <c:spPr>
              <a:solidFill>
                <a:srgbClr val="E84A38"/>
              </a:solidFill>
              <a:ln>
                <a:solidFill>
                  <a:srgbClr val="FFFFFF"/>
                </a:solidFill>
              </a:ln>
            </c:spPr>
            <c:extLst>
              <c:ext xmlns:c16="http://schemas.microsoft.com/office/drawing/2014/chart" uri="{C3380CC4-5D6E-409C-BE32-E72D297353CC}">
                <c16:uniqueId val="{00000009-67F5-4617-8659-7B3D8E0DA1E9}"/>
              </c:ext>
            </c:extLst>
          </c:dPt>
          <c:dPt>
            <c:idx val="5"/>
            <c:bubble3D val="0"/>
            <c:spPr>
              <a:solidFill>
                <a:srgbClr val="55585A"/>
              </a:solidFill>
              <a:ln>
                <a:solidFill>
                  <a:srgbClr val="FFFFFF"/>
                </a:solidFill>
              </a:ln>
            </c:spPr>
            <c:extLst>
              <c:ext xmlns:c16="http://schemas.microsoft.com/office/drawing/2014/chart" uri="{C3380CC4-5D6E-409C-BE32-E72D297353CC}">
                <c16:uniqueId val="{0000000B-67F5-4617-8659-7B3D8E0DA1E9}"/>
              </c:ext>
            </c:extLst>
          </c:dPt>
          <c:cat>
            <c:strRef>
              <c:f>'Gill netters'!$G$78:$G$83</c:f>
              <c:strCache>
                <c:ptCount val="6"/>
                <c:pt idx="0">
                  <c:v>Anglerfish - 43.1%</c:v>
                </c:pt>
                <c:pt idx="1">
                  <c:v>Hake - 31.0%</c:v>
                </c:pt>
                <c:pt idx="2">
                  <c:v>Turbot - 6.5%</c:v>
                </c:pt>
                <c:pt idx="3">
                  <c:v>Pollack - 5.7%</c:v>
                </c:pt>
                <c:pt idx="4">
                  <c:v>Pilchards - 3.7%</c:v>
                </c:pt>
                <c:pt idx="5">
                  <c:v>Others - 10.1%</c:v>
                </c:pt>
              </c:strCache>
            </c:strRef>
          </c:cat>
          <c:val>
            <c:numRef>
              <c:f>'Gill netters'!$H$78:$H$83</c:f>
              <c:numCache>
                <c:formatCode>0.0%</c:formatCode>
                <c:ptCount val="6"/>
                <c:pt idx="0">
                  <c:v>0.43082779391655335</c:v>
                </c:pt>
                <c:pt idx="1">
                  <c:v>0.31027166767982722</c:v>
                </c:pt>
                <c:pt idx="2">
                  <c:v>6.4510615438984217E-2</c:v>
                </c:pt>
                <c:pt idx="3">
                  <c:v>5.6517211476713354E-2</c:v>
                </c:pt>
                <c:pt idx="4">
                  <c:v>3.726079741228689E-2</c:v>
                </c:pt>
                <c:pt idx="5">
                  <c:v>0.10061191407563486</c:v>
                </c:pt>
              </c:numCache>
            </c:numRef>
          </c:val>
          <c:extLst>
            <c:ext xmlns:c16="http://schemas.microsoft.com/office/drawing/2014/chart" uri="{C3380CC4-5D6E-409C-BE32-E72D297353CC}">
              <c16:uniqueId val="{0000000C-67F5-4617-8659-7B3D8E0DA1E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'Gill netters'!$C$93</c:f>
              <c:strCache>
                <c:ptCount val="1"/>
                <c:pt idx="0">
                  <c:v>Anglerfish</c:v>
                </c:pt>
              </c:strCache>
            </c:strRef>
          </c:tx>
          <c:spPr>
            <a:solidFill>
              <a:srgbClr val="2273B9"/>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netters'!$D$93:$M$93</c:f>
              <c:numCache>
                <c:formatCode>0%</c:formatCode>
                <c:ptCount val="10"/>
                <c:pt idx="0">
                  <c:v>0.50116003545755916</c:v>
                </c:pt>
                <c:pt idx="1">
                  <c:v>0.5264204761957747</c:v>
                </c:pt>
                <c:pt idx="2">
                  <c:v>0.53102206261319262</c:v>
                </c:pt>
                <c:pt idx="3">
                  <c:v>0.50228422823522689</c:v>
                </c:pt>
                <c:pt idx="4">
                  <c:v>0.40259672734756691</c:v>
                </c:pt>
                <c:pt idx="5">
                  <c:v>0.39245515808732206</c:v>
                </c:pt>
                <c:pt idx="6">
                  <c:v>0.50255080542275821</c:v>
                </c:pt>
                <c:pt idx="7">
                  <c:v>0.45694328715023252</c:v>
                </c:pt>
                <c:pt idx="8">
                  <c:v>0.43082779391655335</c:v>
                </c:pt>
                <c:pt idx="9">
                  <c:v>0.35792583509842157</c:v>
                </c:pt>
              </c:numCache>
            </c:numRef>
          </c:val>
          <c:extLst>
            <c:ext xmlns:c16="http://schemas.microsoft.com/office/drawing/2014/chart" uri="{C3380CC4-5D6E-409C-BE32-E72D297353CC}">
              <c16:uniqueId val="{00000000-7049-4514-B99A-A9E455169E12}"/>
            </c:ext>
          </c:extLst>
        </c:ser>
        <c:ser>
          <c:idx val="1"/>
          <c:order val="1"/>
          <c:tx>
            <c:strRef>
              <c:f>'Gill netters'!$C$94</c:f>
              <c:strCache>
                <c:ptCount val="1"/>
                <c:pt idx="0">
                  <c:v>Hake</c:v>
                </c:pt>
              </c:strCache>
            </c:strRef>
          </c:tx>
          <c:spPr>
            <a:solidFill>
              <a:srgbClr val="E87308"/>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netters'!$D$94:$M$94</c:f>
              <c:numCache>
                <c:formatCode>0%</c:formatCode>
                <c:ptCount val="10"/>
                <c:pt idx="0">
                  <c:v>0.13999365104237649</c:v>
                </c:pt>
                <c:pt idx="1">
                  <c:v>0.11614284088730938</c:v>
                </c:pt>
                <c:pt idx="2">
                  <c:v>0.17386423956225144</c:v>
                </c:pt>
                <c:pt idx="3">
                  <c:v>0.15019280233610172</c:v>
                </c:pt>
                <c:pt idx="4">
                  <c:v>0.27298358470746503</c:v>
                </c:pt>
                <c:pt idx="5">
                  <c:v>0.36356795311225626</c:v>
                </c:pt>
                <c:pt idx="6">
                  <c:v>0.33550651355699607</c:v>
                </c:pt>
                <c:pt idx="7">
                  <c:v>0.27722274530249419</c:v>
                </c:pt>
                <c:pt idx="8">
                  <c:v>0.31027166767982722</c:v>
                </c:pt>
                <c:pt idx="9">
                  <c:v>0.34404129659233457</c:v>
                </c:pt>
              </c:numCache>
            </c:numRef>
          </c:val>
          <c:extLst>
            <c:ext xmlns:c16="http://schemas.microsoft.com/office/drawing/2014/chart" uri="{C3380CC4-5D6E-409C-BE32-E72D297353CC}">
              <c16:uniqueId val="{00000001-7049-4514-B99A-A9E455169E12}"/>
            </c:ext>
          </c:extLst>
        </c:ser>
        <c:ser>
          <c:idx val="2"/>
          <c:order val="2"/>
          <c:tx>
            <c:strRef>
              <c:f>'Gill netters'!$C$95</c:f>
              <c:strCache>
                <c:ptCount val="1"/>
                <c:pt idx="0">
                  <c:v>Turbot</c:v>
                </c:pt>
              </c:strCache>
            </c:strRef>
          </c:tx>
          <c:spPr>
            <a:solidFill>
              <a:srgbClr val="648C2E"/>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netters'!$D$95:$M$95</c:f>
              <c:numCache>
                <c:formatCode>0%</c:formatCode>
                <c:ptCount val="10"/>
                <c:pt idx="0">
                  <c:v>4.6203385419087896E-2</c:v>
                </c:pt>
                <c:pt idx="1">
                  <c:v>5.7566587462359937E-2</c:v>
                </c:pt>
                <c:pt idx="2">
                  <c:v>7.4084531282658544E-2</c:v>
                </c:pt>
                <c:pt idx="3">
                  <c:v>6.2934793010253787E-2</c:v>
                </c:pt>
                <c:pt idx="4">
                  <c:v>8.2857089846042134E-2</c:v>
                </c:pt>
                <c:pt idx="5">
                  <c:v>5.2389363514394251E-2</c:v>
                </c:pt>
                <c:pt idx="6">
                  <c:v>3.9225525286205709E-2</c:v>
                </c:pt>
                <c:pt idx="7">
                  <c:v>3.1258955604632897E-2</c:v>
                </c:pt>
                <c:pt idx="8">
                  <c:v>6.4510615438984217E-2</c:v>
                </c:pt>
                <c:pt idx="9">
                  <c:v>7.0349370488997878E-2</c:v>
                </c:pt>
              </c:numCache>
            </c:numRef>
          </c:val>
          <c:extLst>
            <c:ext xmlns:c16="http://schemas.microsoft.com/office/drawing/2014/chart" uri="{C3380CC4-5D6E-409C-BE32-E72D297353CC}">
              <c16:uniqueId val="{00000002-7049-4514-B99A-A9E455169E12}"/>
            </c:ext>
          </c:extLst>
        </c:ser>
        <c:ser>
          <c:idx val="3"/>
          <c:order val="3"/>
          <c:tx>
            <c:strRef>
              <c:f>'Gill netters'!$C$96</c:f>
              <c:strCache>
                <c:ptCount val="1"/>
                <c:pt idx="0">
                  <c:v>Pollack</c:v>
                </c:pt>
              </c:strCache>
            </c:strRef>
          </c:tx>
          <c:spPr>
            <a:solidFill>
              <a:srgbClr val="C1D119"/>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netters'!$D$96:$M$96</c:f>
              <c:numCache>
                <c:formatCode>0%</c:formatCode>
                <c:ptCount val="10"/>
                <c:pt idx="0">
                  <c:v>0.12690128575604356</c:v>
                </c:pt>
                <c:pt idx="1">
                  <c:v>8.9997113815497076E-2</c:v>
                </c:pt>
                <c:pt idx="2">
                  <c:v>0.10451047323682797</c:v>
                </c:pt>
                <c:pt idx="3">
                  <c:v>0.1381188094241744</c:v>
                </c:pt>
                <c:pt idx="4">
                  <c:v>9.1360198154771852E-2</c:v>
                </c:pt>
                <c:pt idx="5">
                  <c:v>5.3129253089279786E-2</c:v>
                </c:pt>
                <c:pt idx="6">
                  <c:v>3.0691268068435543E-2</c:v>
                </c:pt>
                <c:pt idx="7">
                  <c:v>8.8387644864356477E-2</c:v>
                </c:pt>
                <c:pt idx="8">
                  <c:v>5.6517211476713354E-2</c:v>
                </c:pt>
                <c:pt idx="9">
                  <c:v>5.7358543854723526E-2</c:v>
                </c:pt>
              </c:numCache>
            </c:numRef>
          </c:val>
          <c:extLst>
            <c:ext xmlns:c16="http://schemas.microsoft.com/office/drawing/2014/chart" uri="{C3380CC4-5D6E-409C-BE32-E72D297353CC}">
              <c16:uniqueId val="{00000003-7049-4514-B99A-A9E455169E12}"/>
            </c:ext>
          </c:extLst>
        </c:ser>
        <c:ser>
          <c:idx val="4"/>
          <c:order val="4"/>
          <c:tx>
            <c:strRef>
              <c:f>'Gill netters'!$C$97</c:f>
              <c:strCache>
                <c:ptCount val="1"/>
                <c:pt idx="0">
                  <c:v>Pilchards</c:v>
                </c:pt>
              </c:strCache>
            </c:strRef>
          </c:tx>
          <c:spPr>
            <a:solidFill>
              <a:srgbClr val="E84A38"/>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netters'!$D$97:$M$97</c:f>
              <c:numCache>
                <c:formatCode>0%</c:formatCode>
                <c:ptCount val="10"/>
                <c:pt idx="0">
                  <c:v>4.9621307553054245E-2</c:v>
                </c:pt>
                <c:pt idx="2">
                  <c:v>2.1254795697274315E-2</c:v>
                </c:pt>
                <c:pt idx="4">
                  <c:v>3.6110011387424493E-2</c:v>
                </c:pt>
                <c:pt idx="5">
                  <c:v>4.4981469394183744E-2</c:v>
                </c:pt>
                <c:pt idx="6">
                  <c:v>2.1982962591874551E-2</c:v>
                </c:pt>
                <c:pt idx="7">
                  <c:v>5.0287178222786902E-2</c:v>
                </c:pt>
                <c:pt idx="8">
                  <c:v>3.726079741228689E-2</c:v>
                </c:pt>
                <c:pt idx="9">
                  <c:v>4.6828737392643691E-2</c:v>
                </c:pt>
              </c:numCache>
            </c:numRef>
          </c:val>
          <c:extLst>
            <c:ext xmlns:c16="http://schemas.microsoft.com/office/drawing/2014/chart" uri="{C3380CC4-5D6E-409C-BE32-E72D297353CC}">
              <c16:uniqueId val="{00000004-7049-4514-B99A-A9E455169E12}"/>
            </c:ext>
          </c:extLst>
        </c:ser>
        <c:ser>
          <c:idx val="5"/>
          <c:order val="5"/>
          <c:tx>
            <c:strRef>
              <c:f>'Gill netters'!$C$98</c:f>
              <c:strCache>
                <c:ptCount val="1"/>
                <c:pt idx="0">
                  <c:v>Cod</c:v>
                </c:pt>
              </c:strCache>
            </c:strRef>
          </c:tx>
          <c:spPr>
            <a:solidFill>
              <a:srgbClr val="0F9AA9"/>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netters'!$D$98:$M$98</c:f>
              <c:numCache>
                <c:formatCode>0%</c:formatCode>
                <c:ptCount val="10"/>
                <c:pt idx="3">
                  <c:v>2.6811384040103286E-2</c:v>
                </c:pt>
              </c:numCache>
            </c:numRef>
          </c:val>
          <c:extLst>
            <c:ext xmlns:c16="http://schemas.microsoft.com/office/drawing/2014/chart" uri="{C3380CC4-5D6E-409C-BE32-E72D297353CC}">
              <c16:uniqueId val="{00000005-7049-4514-B99A-A9E455169E12}"/>
            </c:ext>
          </c:extLst>
        </c:ser>
        <c:ser>
          <c:idx val="6"/>
          <c:order val="6"/>
          <c:tx>
            <c:strRef>
              <c:f>'Gill netters'!$C$99</c:f>
              <c:strCache>
                <c:ptCount val="1"/>
                <c:pt idx="0">
                  <c:v>Plaice</c:v>
                </c:pt>
              </c:strCache>
            </c:strRef>
          </c:tx>
          <c:spPr>
            <a:solidFill>
              <a:srgbClr val="FED825"/>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netters'!$D$99:$M$99</c:f>
              <c:numCache>
                <c:formatCode>0%</c:formatCode>
                <c:ptCount val="10"/>
                <c:pt idx="1">
                  <c:v>3.5113066632180112E-2</c:v>
                </c:pt>
              </c:numCache>
            </c:numRef>
          </c:val>
          <c:extLst>
            <c:ext xmlns:c16="http://schemas.microsoft.com/office/drawing/2014/chart" uri="{C3380CC4-5D6E-409C-BE32-E72D297353CC}">
              <c16:uniqueId val="{00000006-7049-4514-B99A-A9E455169E12}"/>
            </c:ext>
          </c:extLst>
        </c:ser>
        <c:ser>
          <c:idx val="7"/>
          <c:order val="7"/>
          <c:tx>
            <c:strRef>
              <c:f>'Gill netters'!$C$100</c:f>
              <c:strCache>
                <c:ptCount val="1"/>
                <c:pt idx="0">
                  <c:v>Others</c:v>
                </c:pt>
              </c:strCache>
            </c:strRef>
          </c:tx>
          <c:spPr>
            <a:solidFill>
              <a:srgbClr val="55585A"/>
            </a:solidFill>
            <a:ln>
              <a:solidFill>
                <a:srgbClr val="FFFFFF"/>
              </a:solidFill>
            </a:ln>
          </c:spPr>
          <c:invertIfNegative val="0"/>
          <c:cat>
            <c:numRef>
              <c:f>'Gill netters'!$D$92:$M$92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'Gill netters'!$D$100:$M$100</c:f>
              <c:numCache>
                <c:formatCode>0%</c:formatCode>
                <c:ptCount val="10"/>
                <c:pt idx="0">
                  <c:v>0.1361203347718786</c:v>
                </c:pt>
                <c:pt idx="1">
                  <c:v>0.17475991500687876</c:v>
                </c:pt>
                <c:pt idx="2">
                  <c:v>9.526389760779512E-2</c:v>
                </c:pt>
                <c:pt idx="3">
                  <c:v>0.11965798295413989</c:v>
                </c:pt>
                <c:pt idx="4">
                  <c:v>0.11409238855672958</c:v>
                </c:pt>
                <c:pt idx="5">
                  <c:v>9.3476802802563902E-2</c:v>
                </c:pt>
                <c:pt idx="6">
                  <c:v>7.0042925073729931E-2</c:v>
                </c:pt>
                <c:pt idx="7">
                  <c:v>9.5900188855497018E-2</c:v>
                </c:pt>
                <c:pt idx="8">
                  <c:v>0.10061191407563497</c:v>
                </c:pt>
                <c:pt idx="9">
                  <c:v>0.12349621657287878</c:v>
                </c:pt>
              </c:numCache>
            </c:numRef>
          </c:val>
          <c:extLst>
            <c:ext xmlns:c16="http://schemas.microsoft.com/office/drawing/2014/chart" uri="{C3380CC4-5D6E-409C-BE32-E72D297353CC}">
              <c16:uniqueId val="{00000007-7049-4514-B99A-A9E455169E12}"/>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trawl'!$A$77</c:f>
          <c:strCache>
            <c:ptCount val="1"/>
            <c:pt idx="0">
              <c:v>Top 5 landed species by volume in 2021
Area VIIA demersal trawl</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4A9-4593-AFF4-B2BA98DCB080}"/>
              </c:ext>
            </c:extLst>
          </c:dPt>
          <c:dPt>
            <c:idx val="1"/>
            <c:bubble3D val="0"/>
            <c:spPr>
              <a:solidFill>
                <a:srgbClr val="E87308"/>
              </a:solidFill>
              <a:ln>
                <a:solidFill>
                  <a:srgbClr val="FFFFFF"/>
                </a:solidFill>
              </a:ln>
            </c:spPr>
            <c:extLst>
              <c:ext xmlns:c16="http://schemas.microsoft.com/office/drawing/2014/chart" uri="{C3380CC4-5D6E-409C-BE32-E72D297353CC}">
                <c16:uniqueId val="{00000003-24A9-4593-AFF4-B2BA98DCB080}"/>
              </c:ext>
            </c:extLst>
          </c:dPt>
          <c:dPt>
            <c:idx val="2"/>
            <c:bubble3D val="0"/>
            <c:spPr>
              <a:solidFill>
                <a:srgbClr val="648C2E"/>
              </a:solidFill>
              <a:ln>
                <a:solidFill>
                  <a:srgbClr val="FFFFFF"/>
                </a:solidFill>
              </a:ln>
            </c:spPr>
            <c:extLst>
              <c:ext xmlns:c16="http://schemas.microsoft.com/office/drawing/2014/chart" uri="{C3380CC4-5D6E-409C-BE32-E72D297353CC}">
                <c16:uniqueId val="{00000005-24A9-4593-AFF4-B2BA98DCB080}"/>
              </c:ext>
            </c:extLst>
          </c:dPt>
          <c:dPt>
            <c:idx val="3"/>
            <c:bubble3D val="0"/>
            <c:spPr>
              <a:solidFill>
                <a:srgbClr val="0F9AA9"/>
              </a:solidFill>
              <a:ln>
                <a:solidFill>
                  <a:srgbClr val="FFFFFF"/>
                </a:solidFill>
              </a:ln>
            </c:spPr>
            <c:extLst>
              <c:ext xmlns:c16="http://schemas.microsoft.com/office/drawing/2014/chart" uri="{C3380CC4-5D6E-409C-BE32-E72D297353CC}">
                <c16:uniqueId val="{00000007-24A9-4593-AFF4-B2BA98DCB080}"/>
              </c:ext>
            </c:extLst>
          </c:dPt>
          <c:dPt>
            <c:idx val="4"/>
            <c:bubble3D val="0"/>
            <c:spPr>
              <a:solidFill>
                <a:srgbClr val="E84A38"/>
              </a:solidFill>
              <a:ln>
                <a:solidFill>
                  <a:srgbClr val="FFFFFF"/>
                </a:solidFill>
              </a:ln>
            </c:spPr>
            <c:extLst>
              <c:ext xmlns:c16="http://schemas.microsoft.com/office/drawing/2014/chart" uri="{C3380CC4-5D6E-409C-BE32-E72D297353CC}">
                <c16:uniqueId val="{00000009-24A9-4593-AFF4-B2BA98DCB080}"/>
              </c:ext>
            </c:extLst>
          </c:dPt>
          <c:dPt>
            <c:idx val="5"/>
            <c:bubble3D val="0"/>
            <c:spPr>
              <a:solidFill>
                <a:srgbClr val="55585A"/>
              </a:solidFill>
              <a:ln>
                <a:solidFill>
                  <a:srgbClr val="FFFFFF"/>
                </a:solidFill>
              </a:ln>
            </c:spPr>
            <c:extLst>
              <c:ext xmlns:c16="http://schemas.microsoft.com/office/drawing/2014/chart" uri="{C3380CC4-5D6E-409C-BE32-E72D297353CC}">
                <c16:uniqueId val="{0000000B-24A9-4593-AFF4-B2BA98DCB080}"/>
              </c:ext>
            </c:extLst>
          </c:dPt>
          <c:cat>
            <c:strRef>
              <c:f>'Area VIIa demersal trawl'!$B$78:$B$83</c:f>
              <c:strCache>
                <c:ptCount val="6"/>
                <c:pt idx="0">
                  <c:v>Haddock - 56.6%</c:v>
                </c:pt>
                <c:pt idx="1">
                  <c:v>Scallops - 10.5%</c:v>
                </c:pt>
                <c:pt idx="2">
                  <c:v>Hake - 7.5%</c:v>
                </c:pt>
                <c:pt idx="3">
                  <c:v>Herring - 7.2%</c:v>
                </c:pt>
                <c:pt idx="4">
                  <c:v>Nephrops - 7.0%</c:v>
                </c:pt>
                <c:pt idx="5">
                  <c:v>Others - 11.2%</c:v>
                </c:pt>
              </c:strCache>
            </c:strRef>
          </c:cat>
          <c:val>
            <c:numRef>
              <c:f>'Area VIIa demersal trawl'!$C$78:$C$83</c:f>
              <c:numCache>
                <c:formatCode>0.0%</c:formatCode>
                <c:ptCount val="6"/>
                <c:pt idx="0">
                  <c:v>0.56587018050910443</c:v>
                </c:pt>
                <c:pt idx="1">
                  <c:v>0.10519283356056867</c:v>
                </c:pt>
                <c:pt idx="2">
                  <c:v>7.4981086558850774E-2</c:v>
                </c:pt>
                <c:pt idx="3">
                  <c:v>7.1867904973284713E-2</c:v>
                </c:pt>
                <c:pt idx="4">
                  <c:v>6.9663852590611031E-2</c:v>
                </c:pt>
                <c:pt idx="5">
                  <c:v>0.11242414180758042</c:v>
                </c:pt>
              </c:numCache>
            </c:numRef>
          </c:val>
          <c:extLst>
            <c:ext xmlns:c16="http://schemas.microsoft.com/office/drawing/2014/chart" uri="{C3380CC4-5D6E-409C-BE32-E72D297353CC}">
              <c16:uniqueId val="{0000000C-24A9-4593-AFF4-B2BA98DCB08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'Gill netters'!$B$163</c:f>
              <c:strCache>
                <c:ptCount val="1"/>
                <c:pt idx="0">
                  <c:v>Hake</c:v>
                </c:pt>
              </c:strCache>
            </c:strRef>
          </c:tx>
          <c:spPr>
            <a:solidFill>
              <a:srgbClr val="E87308"/>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netters'!$C$163:$E$163</c:f>
              <c:numCache>
                <c:formatCode>0%</c:formatCode>
                <c:ptCount val="3"/>
                <c:pt idx="0">
                  <c:v>6.9483381001152575E-2</c:v>
                </c:pt>
                <c:pt idx="1">
                  <c:v>0.34559350168676062</c:v>
                </c:pt>
                <c:pt idx="2">
                  <c:v>0.15069783442649354</c:v>
                </c:pt>
              </c:numCache>
            </c:numRef>
          </c:val>
          <c:extLst>
            <c:ext xmlns:c16="http://schemas.microsoft.com/office/drawing/2014/chart" uri="{C3380CC4-5D6E-409C-BE32-E72D297353CC}">
              <c16:uniqueId val="{00000000-89F5-4A58-B772-D349A6CA16B6}"/>
            </c:ext>
          </c:extLst>
        </c:ser>
        <c:ser>
          <c:idx val="1"/>
          <c:order val="1"/>
          <c:tx>
            <c:strRef>
              <c:f>'Gill netters'!$B$164</c:f>
              <c:strCache>
                <c:ptCount val="1"/>
                <c:pt idx="0">
                  <c:v>Pilchards</c:v>
                </c:pt>
              </c:strCache>
            </c:strRef>
          </c:tx>
          <c:spPr>
            <a:solidFill>
              <a:srgbClr val="E84A38"/>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netters'!$C$164:$E$164</c:f>
              <c:numCache>
                <c:formatCode>0%</c:formatCode>
                <c:ptCount val="3"/>
                <c:pt idx="0">
                  <c:v>0.34648332868909343</c:v>
                </c:pt>
                <c:pt idx="1">
                  <c:v>0.27400313200771242</c:v>
                </c:pt>
                <c:pt idx="2">
                  <c:v>0</c:v>
                </c:pt>
              </c:numCache>
            </c:numRef>
          </c:val>
          <c:extLst>
            <c:ext xmlns:c16="http://schemas.microsoft.com/office/drawing/2014/chart" uri="{C3380CC4-5D6E-409C-BE32-E72D297353CC}">
              <c16:uniqueId val="{00000001-89F5-4A58-B772-D349A6CA16B6}"/>
            </c:ext>
          </c:extLst>
        </c:ser>
        <c:ser>
          <c:idx val="2"/>
          <c:order val="2"/>
          <c:tx>
            <c:strRef>
              <c:f>'Gill netters'!$B$165</c:f>
              <c:strCache>
                <c:ptCount val="1"/>
                <c:pt idx="0">
                  <c:v>Anglerfish</c:v>
                </c:pt>
              </c:strCache>
            </c:strRef>
          </c:tx>
          <c:spPr>
            <a:solidFill>
              <a:srgbClr val="2273B9"/>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netters'!$C$165:$E$165</c:f>
              <c:numCache>
                <c:formatCode>0%</c:formatCode>
                <c:ptCount val="3"/>
                <c:pt idx="0">
                  <c:v>0.52098238751826031</c:v>
                </c:pt>
                <c:pt idx="1">
                  <c:v>0.143808835939811</c:v>
                </c:pt>
                <c:pt idx="2">
                  <c:v>0.67134312187016154</c:v>
                </c:pt>
              </c:numCache>
            </c:numRef>
          </c:val>
          <c:extLst>
            <c:ext xmlns:c16="http://schemas.microsoft.com/office/drawing/2014/chart" uri="{C3380CC4-5D6E-409C-BE32-E72D297353CC}">
              <c16:uniqueId val="{00000002-89F5-4A58-B772-D349A6CA16B6}"/>
            </c:ext>
          </c:extLst>
        </c:ser>
        <c:ser>
          <c:idx val="3"/>
          <c:order val="3"/>
          <c:tx>
            <c:strRef>
              <c:f>'Gill netters'!$B$166</c:f>
              <c:strCache>
                <c:ptCount val="1"/>
                <c:pt idx="0">
                  <c:v>Pollack</c:v>
                </c:pt>
              </c:strCache>
            </c:strRef>
          </c:tx>
          <c:spPr>
            <a:solidFill>
              <a:srgbClr val="C1D119"/>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netters'!$C$166:$E$166</c:f>
              <c:numCache>
                <c:formatCode>0%</c:formatCode>
                <c:ptCount val="3"/>
                <c:pt idx="0">
                  <c:v>0</c:v>
                </c:pt>
                <c:pt idx="1">
                  <c:v>8.275925756193471E-2</c:v>
                </c:pt>
                <c:pt idx="2">
                  <c:v>7.6558109395867407E-2</c:v>
                </c:pt>
              </c:numCache>
            </c:numRef>
          </c:val>
          <c:extLst>
            <c:ext xmlns:c16="http://schemas.microsoft.com/office/drawing/2014/chart" uri="{C3380CC4-5D6E-409C-BE32-E72D297353CC}">
              <c16:uniqueId val="{00000003-89F5-4A58-B772-D349A6CA16B6}"/>
            </c:ext>
          </c:extLst>
        </c:ser>
        <c:ser>
          <c:idx val="4"/>
          <c:order val="4"/>
          <c:tx>
            <c:strRef>
              <c:f>'Gill netters'!$B$167</c:f>
              <c:strCache>
                <c:ptCount val="1"/>
                <c:pt idx="0">
                  <c:v>Spurdog</c:v>
                </c:pt>
              </c:strCache>
            </c:strRef>
          </c:tx>
          <c:spPr>
            <a:solidFill>
              <a:srgbClr val="0F9AA9"/>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netters'!$C$167:$E$167</c:f>
              <c:numCache>
                <c:formatCode>0%</c:formatCode>
                <c:ptCount val="3"/>
                <c:pt idx="0">
                  <c:v>0</c:v>
                </c:pt>
                <c:pt idx="1">
                  <c:v>4.3626098525185744E-2</c:v>
                </c:pt>
                <c:pt idx="2">
                  <c:v>1.9967898442646445E-2</c:v>
                </c:pt>
              </c:numCache>
            </c:numRef>
          </c:val>
          <c:extLst>
            <c:ext xmlns:c16="http://schemas.microsoft.com/office/drawing/2014/chart" uri="{C3380CC4-5D6E-409C-BE32-E72D297353CC}">
              <c16:uniqueId val="{00000004-89F5-4A58-B772-D349A6CA16B6}"/>
            </c:ext>
          </c:extLst>
        </c:ser>
        <c:ser>
          <c:idx val="5"/>
          <c:order val="5"/>
          <c:tx>
            <c:strRef>
              <c:f>'Gill netters'!$B$168</c:f>
              <c:strCache>
                <c:ptCount val="1"/>
                <c:pt idx="0">
                  <c:v>Ling</c:v>
                </c:pt>
              </c:strCache>
            </c:strRef>
          </c:tx>
          <c:spPr>
            <a:solidFill>
              <a:srgbClr val="FED825"/>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netters'!$C$168:$E$168</c:f>
              <c:numCache>
                <c:formatCode>0%</c:formatCode>
                <c:ptCount val="3"/>
                <c:pt idx="0">
                  <c:v>1.0634747282982358E-2</c:v>
                </c:pt>
                <c:pt idx="1">
                  <c:v>0</c:v>
                </c:pt>
                <c:pt idx="2">
                  <c:v>1.94977935601711E-2</c:v>
                </c:pt>
              </c:numCache>
            </c:numRef>
          </c:val>
          <c:extLst>
            <c:ext xmlns:c16="http://schemas.microsoft.com/office/drawing/2014/chart" uri="{C3380CC4-5D6E-409C-BE32-E72D297353CC}">
              <c16:uniqueId val="{00000005-89F5-4A58-B772-D349A6CA16B6}"/>
            </c:ext>
          </c:extLst>
        </c:ser>
        <c:ser>
          <c:idx val="6"/>
          <c:order val="6"/>
          <c:tx>
            <c:strRef>
              <c:f>'Gill netters'!$B$169</c:f>
              <c:strCache>
                <c:ptCount val="1"/>
                <c:pt idx="0">
                  <c:v>Sandy Ray</c:v>
                </c:pt>
              </c:strCache>
            </c:strRef>
          </c:tx>
          <c:spPr>
            <a:solidFill>
              <a:srgbClr val="707271"/>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netters'!$C$169:$E$169</c:f>
              <c:numCache>
                <c:formatCode>0%</c:formatCode>
                <c:ptCount val="3"/>
                <c:pt idx="0">
                  <c:v>9.3981948117558781E-3</c:v>
                </c:pt>
                <c:pt idx="1">
                  <c:v>0</c:v>
                </c:pt>
                <c:pt idx="2">
                  <c:v>0</c:v>
                </c:pt>
              </c:numCache>
            </c:numRef>
          </c:val>
          <c:extLst>
            <c:ext xmlns:c16="http://schemas.microsoft.com/office/drawing/2014/chart" uri="{C3380CC4-5D6E-409C-BE32-E72D297353CC}">
              <c16:uniqueId val="{00000006-89F5-4A58-B772-D349A6CA16B6}"/>
            </c:ext>
          </c:extLst>
        </c:ser>
        <c:ser>
          <c:idx val="7"/>
          <c:order val="7"/>
          <c:tx>
            <c:strRef>
              <c:f>'Gill netters'!$B$170</c:f>
              <c:strCache>
                <c:ptCount val="1"/>
                <c:pt idx="0">
                  <c:v>Others</c:v>
                </c:pt>
              </c:strCache>
            </c:strRef>
          </c:tx>
          <c:spPr>
            <a:solidFill>
              <a:srgbClr val="55585A"/>
            </a:solidFill>
            <a:ln>
              <a:solidFill>
                <a:srgbClr val="FFFFFF"/>
              </a:solidFill>
            </a:ln>
          </c:spPr>
          <c:invertIfNegative val="0"/>
          <c:cat>
            <c:strRef>
              <c:f>'Gill netters'!$C$162:$E$162</c:f>
              <c:strCache>
                <c:ptCount val="3"/>
                <c:pt idx="0">
                  <c:v>Most
profitable
quartile</c:v>
                </c:pt>
                <c:pt idx="1">
                  <c:v>Middle 
two quartiles</c:v>
                </c:pt>
                <c:pt idx="2">
                  <c:v>Least
profitable
quartile</c:v>
                </c:pt>
              </c:strCache>
            </c:strRef>
          </c:cat>
          <c:val>
            <c:numRef>
              <c:f>'Gill netters'!$C$170:$E$170</c:f>
              <c:numCache>
                <c:formatCode>0%</c:formatCode>
                <c:ptCount val="3"/>
                <c:pt idx="0">
                  <c:v>4.3017960696755453E-2</c:v>
                </c:pt>
                <c:pt idx="1">
                  <c:v>0.11020917427859556</c:v>
                </c:pt>
                <c:pt idx="2">
                  <c:v>6.1935242304659965E-2</c:v>
                </c:pt>
              </c:numCache>
            </c:numRef>
          </c:val>
          <c:extLst>
            <c:ext xmlns:c16="http://schemas.microsoft.com/office/drawing/2014/chart" uri="{C3380CC4-5D6E-409C-BE32-E72D297353CC}">
              <c16:uniqueId val="{00000007-89F5-4A58-B772-D349A6CA16B6}"/>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'Gill netters'!$H$163</c:f>
              <c:strCache>
                <c:ptCount val="1"/>
                <c:pt idx="0">
                  <c:v>Hake</c:v>
                </c:pt>
              </c:strCache>
            </c:strRef>
          </c:tx>
          <c:spPr>
            <a:solidFill>
              <a:srgbClr val="E87308"/>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netters'!$I$163:$K$163</c:f>
              <c:numCache>
                <c:formatCode>0%</c:formatCode>
                <c:ptCount val="3"/>
                <c:pt idx="0">
                  <c:v>0.10630271607451314</c:v>
                </c:pt>
                <c:pt idx="1">
                  <c:v>0.4844855130392835</c:v>
                </c:pt>
                <c:pt idx="2">
                  <c:v>0.31564146929284337</c:v>
                </c:pt>
              </c:numCache>
            </c:numRef>
          </c:val>
          <c:extLst>
            <c:ext xmlns:c16="http://schemas.microsoft.com/office/drawing/2014/chart" uri="{C3380CC4-5D6E-409C-BE32-E72D297353CC}">
              <c16:uniqueId val="{00000000-4772-4DBC-9F18-4011A9BCE4F5}"/>
            </c:ext>
          </c:extLst>
        </c:ser>
        <c:ser>
          <c:idx val="1"/>
          <c:order val="1"/>
          <c:tx>
            <c:strRef>
              <c:f>'Gill netters'!$H$164</c:f>
              <c:strCache>
                <c:ptCount val="1"/>
                <c:pt idx="0">
                  <c:v>Anglerfish</c:v>
                </c:pt>
              </c:strCache>
            </c:strRef>
          </c:tx>
          <c:spPr>
            <a:solidFill>
              <a:srgbClr val="2273B9"/>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netters'!$I$164:$K$164</c:f>
              <c:numCache>
                <c:formatCode>0%</c:formatCode>
                <c:ptCount val="3"/>
                <c:pt idx="0">
                  <c:v>0.74520953543326651</c:v>
                </c:pt>
                <c:pt idx="1">
                  <c:v>0.1861493432137421</c:v>
                </c:pt>
                <c:pt idx="2">
                  <c:v>0.47976342423758256</c:v>
                </c:pt>
              </c:numCache>
            </c:numRef>
          </c:val>
          <c:extLst>
            <c:ext xmlns:c16="http://schemas.microsoft.com/office/drawing/2014/chart" uri="{C3380CC4-5D6E-409C-BE32-E72D297353CC}">
              <c16:uniqueId val="{00000001-4772-4DBC-9F18-4011A9BCE4F5}"/>
            </c:ext>
          </c:extLst>
        </c:ser>
        <c:ser>
          <c:idx val="2"/>
          <c:order val="2"/>
          <c:tx>
            <c:strRef>
              <c:f>'Gill netters'!$H$165</c:f>
              <c:strCache>
                <c:ptCount val="1"/>
                <c:pt idx="0">
                  <c:v>Turbot</c:v>
                </c:pt>
              </c:strCache>
            </c:strRef>
          </c:tx>
          <c:spPr>
            <a:solidFill>
              <a:srgbClr val="648C2E"/>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netters'!$I$165:$K$165</c:f>
              <c:numCache>
                <c:formatCode>0%</c:formatCode>
                <c:ptCount val="3"/>
                <c:pt idx="0">
                  <c:v>0</c:v>
                </c:pt>
                <c:pt idx="1">
                  <c:v>0.11942901365146212</c:v>
                </c:pt>
                <c:pt idx="2">
                  <c:v>3.0431200794890464E-2</c:v>
                </c:pt>
              </c:numCache>
            </c:numRef>
          </c:val>
          <c:extLst>
            <c:ext xmlns:c16="http://schemas.microsoft.com/office/drawing/2014/chart" uri="{C3380CC4-5D6E-409C-BE32-E72D297353CC}">
              <c16:uniqueId val="{00000002-4772-4DBC-9F18-4011A9BCE4F5}"/>
            </c:ext>
          </c:extLst>
        </c:ser>
        <c:ser>
          <c:idx val="3"/>
          <c:order val="3"/>
          <c:tx>
            <c:strRef>
              <c:f>'Gill netters'!$H$166</c:f>
              <c:strCache>
                <c:ptCount val="1"/>
                <c:pt idx="0">
                  <c:v>Pollack</c:v>
                </c:pt>
              </c:strCache>
            </c:strRef>
          </c:tx>
          <c:spPr>
            <a:solidFill>
              <a:srgbClr val="C1D119"/>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netters'!$I$166:$K$166</c:f>
              <c:numCache>
                <c:formatCode>0%</c:formatCode>
                <c:ptCount val="3"/>
                <c:pt idx="0">
                  <c:v>9.2262561153562839E-3</c:v>
                </c:pt>
                <c:pt idx="1">
                  <c:v>9.511817254374566E-2</c:v>
                </c:pt>
                <c:pt idx="2">
                  <c:v>6.3357810359674499E-2</c:v>
                </c:pt>
              </c:numCache>
            </c:numRef>
          </c:val>
          <c:extLst>
            <c:ext xmlns:c16="http://schemas.microsoft.com/office/drawing/2014/chart" uri="{C3380CC4-5D6E-409C-BE32-E72D297353CC}">
              <c16:uniqueId val="{00000003-4772-4DBC-9F18-4011A9BCE4F5}"/>
            </c:ext>
          </c:extLst>
        </c:ser>
        <c:ser>
          <c:idx val="4"/>
          <c:order val="4"/>
          <c:tx>
            <c:strRef>
              <c:f>'Gill netters'!$H$167</c:f>
              <c:strCache>
                <c:ptCount val="1"/>
                <c:pt idx="0">
                  <c:v>Pilchards</c:v>
                </c:pt>
              </c:strCache>
            </c:strRef>
          </c:tx>
          <c:spPr>
            <a:solidFill>
              <a:srgbClr val="E84A38"/>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netters'!$I$167:$K$167</c:f>
              <c:numCache>
                <c:formatCode>0%</c:formatCode>
                <c:ptCount val="3"/>
                <c:pt idx="0">
                  <c:v>5.452167588108723E-2</c:v>
                </c:pt>
                <c:pt idx="1">
                  <c:v>3.2801512401616294E-2</c:v>
                </c:pt>
                <c:pt idx="2">
                  <c:v>0</c:v>
                </c:pt>
              </c:numCache>
            </c:numRef>
          </c:val>
          <c:extLst>
            <c:ext xmlns:c16="http://schemas.microsoft.com/office/drawing/2014/chart" uri="{C3380CC4-5D6E-409C-BE32-E72D297353CC}">
              <c16:uniqueId val="{00000004-4772-4DBC-9F18-4011A9BCE4F5}"/>
            </c:ext>
          </c:extLst>
        </c:ser>
        <c:ser>
          <c:idx val="5"/>
          <c:order val="5"/>
          <c:tx>
            <c:strRef>
              <c:f>'Gill netters'!$H$168</c:f>
              <c:strCache>
                <c:ptCount val="1"/>
                <c:pt idx="0">
                  <c:v>Spurdog</c:v>
                </c:pt>
              </c:strCache>
            </c:strRef>
          </c:tx>
          <c:spPr>
            <a:solidFill>
              <a:srgbClr val="0F9AA9"/>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netters'!$I$168:$K$168</c:f>
              <c:numCache>
                <c:formatCode>0%</c:formatCode>
                <c:ptCount val="3"/>
                <c:pt idx="0">
                  <c:v>0</c:v>
                </c:pt>
                <c:pt idx="1">
                  <c:v>0</c:v>
                </c:pt>
                <c:pt idx="2">
                  <c:v>1.8486186785978111E-2</c:v>
                </c:pt>
              </c:numCache>
            </c:numRef>
          </c:val>
          <c:extLst>
            <c:ext xmlns:c16="http://schemas.microsoft.com/office/drawing/2014/chart" uri="{C3380CC4-5D6E-409C-BE32-E72D297353CC}">
              <c16:uniqueId val="{00000005-4772-4DBC-9F18-4011A9BCE4F5}"/>
            </c:ext>
          </c:extLst>
        </c:ser>
        <c:ser>
          <c:idx val="6"/>
          <c:order val="6"/>
          <c:tx>
            <c:strRef>
              <c:f>'Gill netters'!$H$169</c:f>
              <c:strCache>
                <c:ptCount val="1"/>
                <c:pt idx="0">
                  <c:v>Crawfish</c:v>
                </c:pt>
              </c:strCache>
            </c:strRef>
          </c:tx>
          <c:spPr>
            <a:solidFill>
              <a:srgbClr val="51AA81"/>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netters'!$I$169:$K$169</c:f>
              <c:numCache>
                <c:formatCode>0%</c:formatCode>
                <c:ptCount val="3"/>
                <c:pt idx="0">
                  <c:v>3.5749352727883828E-2</c:v>
                </c:pt>
                <c:pt idx="1">
                  <c:v>0</c:v>
                </c:pt>
                <c:pt idx="2">
                  <c:v>0</c:v>
                </c:pt>
              </c:numCache>
            </c:numRef>
          </c:val>
          <c:extLst>
            <c:ext xmlns:c16="http://schemas.microsoft.com/office/drawing/2014/chart" uri="{C3380CC4-5D6E-409C-BE32-E72D297353CC}">
              <c16:uniqueId val="{00000006-4772-4DBC-9F18-4011A9BCE4F5}"/>
            </c:ext>
          </c:extLst>
        </c:ser>
        <c:ser>
          <c:idx val="7"/>
          <c:order val="7"/>
          <c:tx>
            <c:strRef>
              <c:f>'Gill netters'!$H$170</c:f>
              <c:strCache>
                <c:ptCount val="1"/>
                <c:pt idx="0">
                  <c:v>Others</c:v>
                </c:pt>
              </c:strCache>
            </c:strRef>
          </c:tx>
          <c:spPr>
            <a:solidFill>
              <a:srgbClr val="55585A"/>
            </a:solidFill>
            <a:ln>
              <a:solidFill>
                <a:srgbClr val="FFFFFF"/>
              </a:solidFill>
            </a:ln>
          </c:spPr>
          <c:invertIfNegative val="0"/>
          <c:cat>
            <c:strRef>
              <c:f>'Gill netters'!$I$162:$K$162</c:f>
              <c:strCache>
                <c:ptCount val="3"/>
                <c:pt idx="0">
                  <c:v>Most
profitable
quartile</c:v>
                </c:pt>
                <c:pt idx="1">
                  <c:v>Middle 
two quartiles</c:v>
                </c:pt>
                <c:pt idx="2">
                  <c:v>Least
profitable
quartile</c:v>
                </c:pt>
              </c:strCache>
            </c:strRef>
          </c:cat>
          <c:val>
            <c:numRef>
              <c:f>'Gill netters'!$I$170:$K$170</c:f>
              <c:numCache>
                <c:formatCode>0%</c:formatCode>
                <c:ptCount val="3"/>
                <c:pt idx="0">
                  <c:v>4.8990463767892956E-2</c:v>
                </c:pt>
                <c:pt idx="1">
                  <c:v>8.2016445150150386E-2</c:v>
                </c:pt>
                <c:pt idx="2">
                  <c:v>9.2319908529031047E-2</c:v>
                </c:pt>
              </c:numCache>
            </c:numRef>
          </c:val>
          <c:extLst>
            <c:ext xmlns:c16="http://schemas.microsoft.com/office/drawing/2014/chart" uri="{C3380CC4-5D6E-409C-BE32-E72D297353CC}">
              <c16:uniqueId val="{00000007-4772-4DBC-9F18-4011A9BCE4F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'Gill netters'!$K$140</c:f>
              <c:strCache>
                <c:ptCount val="1"/>
                <c:pt idx="0">
                  <c:v>Total income</c:v>
                </c:pt>
              </c:strCache>
            </c:strRef>
          </c:tx>
          <c:spPr>
            <a:solidFill>
              <a:srgbClr val="087CBB"/>
            </a:solidFill>
            <a:ln>
              <a:solidFill>
                <a:schemeClr val="accent1"/>
              </a:solidFill>
            </a:ln>
          </c:spPr>
          <c:invertIfNegative val="0"/>
          <c:cat>
            <c:strRef>
              <c:f>'Gill netters'!$L$139:$N$139</c:f>
              <c:strCache>
                <c:ptCount val="3"/>
                <c:pt idx="0">
                  <c:v>Most
profitable
quartile</c:v>
                </c:pt>
                <c:pt idx="1">
                  <c:v>Middle
two quartiles</c:v>
                </c:pt>
                <c:pt idx="2">
                  <c:v>Least
profitable
quartile</c:v>
                </c:pt>
              </c:strCache>
            </c:strRef>
          </c:cat>
          <c:val>
            <c:numRef>
              <c:f>'Gill netters'!$L$140:$N$140</c:f>
              <c:numCache>
                <c:formatCode>#,##0</c:formatCode>
                <c:ptCount val="3"/>
                <c:pt idx="0">
                  <c:v>897.79062499999998</c:v>
                </c:pt>
                <c:pt idx="1">
                  <c:v>680.87890625</c:v>
                </c:pt>
                <c:pt idx="2">
                  <c:v>237.14428125000001</c:v>
                </c:pt>
              </c:numCache>
            </c:numRef>
          </c:val>
          <c:extLst>
            <c:ext xmlns:c16="http://schemas.microsoft.com/office/drawing/2014/chart" uri="{C3380CC4-5D6E-409C-BE32-E72D297353CC}">
              <c16:uniqueId val="{00000000-D427-4702-A03E-4DD0FBCE5BD9}"/>
            </c:ext>
          </c:extLst>
        </c:ser>
        <c:ser>
          <c:idx val="1"/>
          <c:order val="1"/>
          <c:tx>
            <c:strRef>
              <c:f>'Gill netters'!$K$141</c:f>
              <c:strCache>
                <c:ptCount val="1"/>
                <c:pt idx="0">
                  <c:v>Operating costs</c:v>
                </c:pt>
              </c:strCache>
            </c:strRef>
          </c:tx>
          <c:spPr>
            <a:solidFill>
              <a:srgbClr val="E87308"/>
            </a:solidFill>
          </c:spPr>
          <c:invertIfNegative val="0"/>
          <c:cat>
            <c:strRef>
              <c:f>'Gill netters'!$L$139:$N$139</c:f>
              <c:strCache>
                <c:ptCount val="3"/>
                <c:pt idx="0">
                  <c:v>Most
profitable
quartile</c:v>
                </c:pt>
                <c:pt idx="1">
                  <c:v>Middle
two quartiles</c:v>
                </c:pt>
                <c:pt idx="2">
                  <c:v>Least
profitable
quartile</c:v>
                </c:pt>
              </c:strCache>
            </c:strRef>
          </c:cat>
          <c:val>
            <c:numRef>
              <c:f>'Gill netters'!$L$141:$N$141</c:f>
              <c:numCache>
                <c:formatCode>#,##0</c:formatCode>
                <c:ptCount val="3"/>
                <c:pt idx="0">
                  <c:v>771.43018749999999</c:v>
                </c:pt>
                <c:pt idx="1">
                  <c:v>599.04046874999995</c:v>
                </c:pt>
                <c:pt idx="2">
                  <c:v>219.53153125</c:v>
                </c:pt>
              </c:numCache>
            </c:numRef>
          </c:val>
          <c:extLst>
            <c:ext xmlns:c16="http://schemas.microsoft.com/office/drawing/2014/chart" uri="{C3380CC4-5D6E-409C-BE32-E72D297353CC}">
              <c16:uniqueId val="{00000001-D427-4702-A03E-4DD0FBCE5BD9}"/>
            </c:ext>
          </c:extLst>
        </c:ser>
        <c:ser>
          <c:idx val="2"/>
          <c:order val="2"/>
          <c:tx>
            <c:strRef>
              <c:f>'Gill netters'!$K$142</c:f>
              <c:strCache>
                <c:ptCount val="1"/>
                <c:pt idx="0">
                  <c:v>Operating profit</c:v>
                </c:pt>
              </c:strCache>
            </c:strRef>
          </c:tx>
          <c:spPr>
            <a:solidFill>
              <a:srgbClr val="51AA81"/>
            </a:solidFill>
          </c:spPr>
          <c:invertIfNegative val="0"/>
          <c:cat>
            <c:strRef>
              <c:f>'Gill netters'!$L$139:$N$139</c:f>
              <c:strCache>
                <c:ptCount val="3"/>
                <c:pt idx="0">
                  <c:v>Most
profitable
quartile</c:v>
                </c:pt>
                <c:pt idx="1">
                  <c:v>Middle
two quartiles</c:v>
                </c:pt>
                <c:pt idx="2">
                  <c:v>Least
profitable
quartile</c:v>
                </c:pt>
              </c:strCache>
            </c:strRef>
          </c:cat>
          <c:val>
            <c:numRef>
              <c:f>'Gill netters'!$L$142:$N$142</c:f>
              <c:numCache>
                <c:formatCode>#,##0</c:formatCode>
                <c:ptCount val="3"/>
                <c:pt idx="0">
                  <c:v>126.3604375</c:v>
                </c:pt>
                <c:pt idx="1">
                  <c:v>81.838437499999998</c:v>
                </c:pt>
                <c:pt idx="2">
                  <c:v>17.612749999999998</c:v>
                </c:pt>
              </c:numCache>
            </c:numRef>
          </c:val>
          <c:extLst>
            <c:ext xmlns:c16="http://schemas.microsoft.com/office/drawing/2014/chart" uri="{C3380CC4-5D6E-409C-BE32-E72D297353CC}">
              <c16:uniqueId val="{00000002-D427-4702-A03E-4DD0FBCE5BD9}"/>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'Gill netters'!$K$143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Longliners!$A$49</c:f>
          <c:strCache>
            <c:ptCount val="1"/>
            <c:pt idx="0">
              <c:v>Landings per kW day at sea (kg)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8985-4CD5-ABB4-10B05CBDFD92}"/>
              </c:ext>
            </c:extLst>
          </c:dPt>
          <c:dPt>
            <c:idx val="10"/>
            <c:bubble3D val="0"/>
            <c:spPr>
              <a:ln w="57150">
                <a:solidFill>
                  <a:srgbClr val="2273B9"/>
                </a:solidFill>
                <a:prstDash val="sysDot"/>
              </a:ln>
            </c:spPr>
            <c:extLst>
              <c:ext xmlns:c16="http://schemas.microsoft.com/office/drawing/2014/chart" uri="{C3380CC4-5D6E-409C-BE32-E72D297353CC}">
                <c16:uniqueId val="{00000003-8985-4CD5-ABB4-10B05CBDFD92}"/>
              </c:ext>
            </c:extLst>
          </c:dPt>
          <c:cat>
            <c:numRef>
              <c:f>Longliners!$D$2:$N$2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Longliners!$D$22:$N$22</c:f>
              <c:numCache>
                <c:formatCode>#,##0.00</c:formatCode>
                <c:ptCount val="11"/>
                <c:pt idx="0">
                  <c:v>4.7045056482036358</c:v>
                </c:pt>
                <c:pt idx="1">
                  <c:v>4.3728080618274978</c:v>
                </c:pt>
                <c:pt idx="2">
                  <c:v>5.0876642892580186</c:v>
                </c:pt>
                <c:pt idx="3">
                  <c:v>4.8498313991493598</c:v>
                </c:pt>
                <c:pt idx="4">
                  <c:v>4.8639463318923015</c:v>
                </c:pt>
                <c:pt idx="5">
                  <c:v>3.9822219426393071</c:v>
                </c:pt>
                <c:pt idx="6">
                  <c:v>2.9088454515240354</c:v>
                </c:pt>
                <c:pt idx="7">
                  <c:v>2.7202502329313405</c:v>
                </c:pt>
                <c:pt idx="8">
                  <c:v>2.250566879775314</c:v>
                </c:pt>
                <c:pt idx="9">
                  <c:v>2.6770711485786149</c:v>
                </c:pt>
                <c:pt idx="10">
                  <c:v>2.8026613874842163</c:v>
                </c:pt>
              </c:numCache>
            </c:numRef>
          </c:val>
          <c:smooth val="0"/>
          <c:extLst>
            <c:ext xmlns:c16="http://schemas.microsoft.com/office/drawing/2014/chart" uri="{C3380CC4-5D6E-409C-BE32-E72D297353CC}">
              <c16:uniqueId val="{00000004-8985-4CD5-ABB4-10B05CBDFD92}"/>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Longliners!$A$50</c:f>
          <c:strCache>
            <c:ptCount val="1"/>
            <c:pt idx="0">
              <c:v>Fishing income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ED4-4E31-B884-24D3ED4CA38D}"/>
              </c:ext>
            </c:extLst>
          </c:dPt>
          <c:dPt>
            <c:idx val="10"/>
            <c:bubble3D val="0"/>
            <c:spPr>
              <a:ln w="57150">
                <a:solidFill>
                  <a:srgbClr val="648C2E"/>
                </a:solidFill>
                <a:prstDash val="sysDot"/>
              </a:ln>
            </c:spPr>
            <c:extLst>
              <c:ext xmlns:c16="http://schemas.microsoft.com/office/drawing/2014/chart" uri="{C3380CC4-5D6E-409C-BE32-E72D297353CC}">
                <c16:uniqueId val="{00000003-4ED4-4E31-B884-24D3ED4CA38D}"/>
              </c:ext>
            </c:extLst>
          </c:dPt>
          <c:cat>
            <c:numRef>
              <c:f>Longliners!$D$2:$N$2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Longliners!$D$23:$N$23</c:f>
              <c:numCache>
                <c:formatCode>#,##0.00</c:formatCode>
                <c:ptCount val="11"/>
                <c:pt idx="0">
                  <c:v>14.7777353474628</c:v>
                </c:pt>
                <c:pt idx="1">
                  <c:v>15.590692049569</c:v>
                </c:pt>
                <c:pt idx="2">
                  <c:v>16.459726648871499</c:v>
                </c:pt>
                <c:pt idx="3">
                  <c:v>17.245211377488399</c:v>
                </c:pt>
                <c:pt idx="4">
                  <c:v>15.685700126644999</c:v>
                </c:pt>
                <c:pt idx="5">
                  <c:v>10.503800131305001</c:v>
                </c:pt>
                <c:pt idx="6">
                  <c:v>7.8344031120169104</c:v>
                </c:pt>
                <c:pt idx="7">
                  <c:v>7.4818649614641801</c:v>
                </c:pt>
                <c:pt idx="8">
                  <c:v>4.93587184081417</c:v>
                </c:pt>
                <c:pt idx="9">
                  <c:v>6.2076602277871098</c:v>
                </c:pt>
                <c:pt idx="10">
                  <c:v>7.0213245845196353</c:v>
                </c:pt>
              </c:numCache>
            </c:numRef>
          </c:val>
          <c:smooth val="0"/>
          <c:extLst>
            <c:ext xmlns:c16="http://schemas.microsoft.com/office/drawing/2014/chart" uri="{C3380CC4-5D6E-409C-BE32-E72D297353CC}">
              <c16:uniqueId val="{00000004-4ED4-4E31-B884-24D3ED4CA38D}"/>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Longliners!$B$63</c:f>
          <c:strCache>
            <c:ptCount val="1"/>
            <c:pt idx="0">
              <c:v>Total cost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719A-4D8E-9AB1-AC78D0817C1B}"/>
              </c:ext>
            </c:extLst>
          </c:dPt>
          <c:dPt>
            <c:idx val="10"/>
            <c:bubble3D val="0"/>
            <c:spPr>
              <a:ln w="57150">
                <a:solidFill>
                  <a:srgbClr val="087CBB"/>
                </a:solidFill>
                <a:prstDash val="sysDot"/>
              </a:ln>
            </c:spPr>
            <c:extLst>
              <c:ext xmlns:c16="http://schemas.microsoft.com/office/drawing/2014/chart" uri="{C3380CC4-5D6E-409C-BE32-E72D297353CC}">
                <c16:uniqueId val="{00000003-719A-4D8E-9AB1-AC78D0817C1B}"/>
              </c:ext>
            </c:extLst>
          </c:dPt>
          <c:cat>
            <c:numRef>
              <c:f>Longliners!$D$2:$N$2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Longliners!$D$24:$N$24</c:f>
              <c:numCache>
                <c:formatCode>#,##0.00</c:formatCode>
                <c:ptCount val="11"/>
                <c:pt idx="0">
                  <c:v>16.178854588689799</c:v>
                </c:pt>
                <c:pt idx="1">
                  <c:v>13.256220094501201</c:v>
                </c:pt>
                <c:pt idx="2">
                  <c:v>13.7642144594071</c:v>
                </c:pt>
                <c:pt idx="3">
                  <c:v>12.185314938578401</c:v>
                </c:pt>
                <c:pt idx="4">
                  <c:v>11.0385403992039</c:v>
                </c:pt>
                <c:pt idx="5">
                  <c:v>9.1906750326047995</c:v>
                </c:pt>
                <c:pt idx="6">
                  <c:v>6.7897751813961804</c:v>
                </c:pt>
                <c:pt idx="7">
                  <c:v>6.0406244133102103</c:v>
                </c:pt>
                <c:pt idx="8">
                  <c:v>5.0775523817827803</c:v>
                </c:pt>
                <c:pt idx="9">
                  <c:v>5.0752062317292603</c:v>
                </c:pt>
                <c:pt idx="10">
                  <c:v>6.2415233823875189</c:v>
                </c:pt>
              </c:numCache>
            </c:numRef>
          </c:val>
          <c:smooth val="0"/>
          <c:extLst>
            <c:ext xmlns:c16="http://schemas.microsoft.com/office/drawing/2014/chart" uri="{C3380CC4-5D6E-409C-BE32-E72D297353CC}">
              <c16:uniqueId val="{00000004-719A-4D8E-9AB1-AC78D0817C1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Longliners!$K$49</c:f>
          <c:strCache>
            <c:ptCount val="1"/>
            <c:pt idx="0">
              <c:v>Operating profit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B431-49A1-B92D-84F8A0BD7A6A}"/>
              </c:ext>
            </c:extLst>
          </c:dPt>
          <c:dPt>
            <c:idx val="10"/>
            <c:bubble3D val="0"/>
            <c:spPr>
              <a:ln w="57150">
                <a:solidFill>
                  <a:schemeClr val="accent3"/>
                </a:solidFill>
                <a:prstDash val="sysDot"/>
              </a:ln>
            </c:spPr>
            <c:extLst>
              <c:ext xmlns:c16="http://schemas.microsoft.com/office/drawing/2014/chart" uri="{C3380CC4-5D6E-409C-BE32-E72D297353CC}">
                <c16:uniqueId val="{00000003-B431-49A1-B92D-84F8A0BD7A6A}"/>
              </c:ext>
            </c:extLst>
          </c:dPt>
          <c:cat>
            <c:numRef>
              <c:f>Longliners!$D$2:$N$2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Longliners!$D$25:$N$25</c:f>
              <c:numCache>
                <c:formatCode>#,##0.00</c:formatCode>
                <c:ptCount val="11"/>
                <c:pt idx="0">
                  <c:v>-0.48535439584083701</c:v>
                </c:pt>
                <c:pt idx="1">
                  <c:v>2.9362021889571501</c:v>
                </c:pt>
                <c:pt idx="2">
                  <c:v>2.8380045044267401</c:v>
                </c:pt>
                <c:pt idx="3">
                  <c:v>5.0965517302590504</c:v>
                </c:pt>
                <c:pt idx="4">
                  <c:v>4.6866349079070497</c:v>
                </c:pt>
                <c:pt idx="5">
                  <c:v>1.39238913016192</c:v>
                </c:pt>
                <c:pt idx="6">
                  <c:v>1.07043336932257</c:v>
                </c:pt>
                <c:pt idx="7">
                  <c:v>1.5792812829345899</c:v>
                </c:pt>
                <c:pt idx="8">
                  <c:v>2.3440030416548501E-2</c:v>
                </c:pt>
                <c:pt idx="9">
                  <c:v>1.2469856030712301</c:v>
                </c:pt>
                <c:pt idx="10">
                  <c:v>0.90934494441129965</c:v>
                </c:pt>
              </c:numCache>
            </c:numRef>
          </c:val>
          <c:smooth val="0"/>
          <c:extLst>
            <c:ext xmlns:c16="http://schemas.microsoft.com/office/drawing/2014/chart" uri="{C3380CC4-5D6E-409C-BE32-E72D297353CC}">
              <c16:uniqueId val="{00000004-B431-49A1-B92D-84F8A0BD7A6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Longliners!$A$51</c:f>
          <c:strCache>
            <c:ptCount val="1"/>
            <c:pt idx="0">
              <c:v>Average price per tonne landed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F1E-4F7D-87B4-75A4F163D271}"/>
              </c:ext>
            </c:extLst>
          </c:dPt>
          <c:dPt>
            <c:idx val="10"/>
            <c:bubble3D val="0"/>
            <c:spPr>
              <a:ln w="57150">
                <a:solidFill>
                  <a:schemeClr val="accent4"/>
                </a:solidFill>
                <a:prstDash val="sysDot"/>
              </a:ln>
            </c:spPr>
            <c:extLst>
              <c:ext xmlns:c16="http://schemas.microsoft.com/office/drawing/2014/chart" uri="{C3380CC4-5D6E-409C-BE32-E72D297353CC}">
                <c16:uniqueId val="{00000003-AF1E-4F7D-87B4-75A4F163D271}"/>
              </c:ext>
            </c:extLst>
          </c:dPt>
          <c:cat>
            <c:numRef>
              <c:f>Longliners!$D$2:$M$2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Longliners!$D$21:$N$21</c:f>
              <c:numCache>
                <c:formatCode>#,##0</c:formatCode>
                <c:ptCount val="11"/>
                <c:pt idx="0">
                  <c:v>3141</c:v>
                </c:pt>
                <c:pt idx="1">
                  <c:v>3565</c:v>
                </c:pt>
                <c:pt idx="2">
                  <c:v>3235</c:v>
                </c:pt>
                <c:pt idx="3">
                  <c:v>3556</c:v>
                </c:pt>
                <c:pt idx="4">
                  <c:v>3225</c:v>
                </c:pt>
                <c:pt idx="5">
                  <c:v>2638</c:v>
                </c:pt>
                <c:pt idx="6">
                  <c:v>2693</c:v>
                </c:pt>
                <c:pt idx="7">
                  <c:v>2750</c:v>
                </c:pt>
                <c:pt idx="8">
                  <c:v>2193</c:v>
                </c:pt>
                <c:pt idx="9">
                  <c:v>2319</c:v>
                </c:pt>
                <c:pt idx="10">
                  <c:v>2505</c:v>
                </c:pt>
              </c:numCache>
            </c:numRef>
          </c:val>
          <c:smooth val="0"/>
          <c:extLst>
            <c:ext xmlns:c16="http://schemas.microsoft.com/office/drawing/2014/chart" uri="{C3380CC4-5D6E-409C-BE32-E72D297353CC}">
              <c16:uniqueId val="{00000004-AF1E-4F7D-87B4-75A4F163D271}"/>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Longliners!$K$63</c:f>
          <c:strCache>
            <c:ptCount val="1"/>
            <c:pt idx="0">
              <c:v>Average annual operating profit per vessel (£'000)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DF8E-4877-9C9D-ABBD93AD74BF}"/>
              </c:ext>
            </c:extLst>
          </c:dPt>
          <c:dPt>
            <c:idx val="10"/>
            <c:bubble3D val="0"/>
            <c:spPr>
              <a:ln w="57150">
                <a:solidFill>
                  <a:schemeClr val="accent5"/>
                </a:solidFill>
                <a:prstDash val="sysDot"/>
              </a:ln>
            </c:spPr>
            <c:extLst>
              <c:ext xmlns:c16="http://schemas.microsoft.com/office/drawing/2014/chart" uri="{C3380CC4-5D6E-409C-BE32-E72D297353CC}">
                <c16:uniqueId val="{00000003-DF8E-4877-9C9D-ABBD93AD74BF}"/>
              </c:ext>
            </c:extLst>
          </c:dPt>
          <c:cat>
            <c:numRef>
              <c:f>Longliners!$D$2:$M$2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Longliners!$D$38:$N$38</c:f>
              <c:numCache>
                <c:formatCode>#,##0.0</c:formatCode>
                <c:ptCount val="11"/>
                <c:pt idx="0">
                  <c:v>-23.8</c:v>
                </c:pt>
                <c:pt idx="1">
                  <c:v>156.4</c:v>
                </c:pt>
                <c:pt idx="2">
                  <c:v>161.80000000000001</c:v>
                </c:pt>
                <c:pt idx="3">
                  <c:v>358.9</c:v>
                </c:pt>
                <c:pt idx="4">
                  <c:v>340.5</c:v>
                </c:pt>
                <c:pt idx="5">
                  <c:v>100.7</c:v>
                </c:pt>
                <c:pt idx="6">
                  <c:v>76.2</c:v>
                </c:pt>
                <c:pt idx="7">
                  <c:v>100.8</c:v>
                </c:pt>
                <c:pt idx="8">
                  <c:v>1.5</c:v>
                </c:pt>
                <c:pt idx="9">
                  <c:v>73.900000000000006</c:v>
                </c:pt>
                <c:pt idx="10">
                  <c:v>60.2</c:v>
                </c:pt>
              </c:numCache>
            </c:numRef>
          </c:val>
          <c:smooth val="0"/>
          <c:extLst>
            <c:ext xmlns:c16="http://schemas.microsoft.com/office/drawing/2014/chart" uri="{C3380CC4-5D6E-409C-BE32-E72D297353CC}">
              <c16:uniqueId val="{00000004-DF8E-4877-9C9D-ABBD93AD74B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Longliners!$A$77</c:f>
          <c:strCache>
            <c:ptCount val="1"/>
            <c:pt idx="0">
              <c:v>Top 5 landed species by volume in 2021
Longliners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9080-4A1F-B5EE-593DFA2ABD4A}"/>
              </c:ext>
            </c:extLst>
          </c:dPt>
          <c:dPt>
            <c:idx val="1"/>
            <c:bubble3D val="0"/>
            <c:spPr>
              <a:solidFill>
                <a:srgbClr val="648C2E"/>
              </a:solidFill>
              <a:ln>
                <a:solidFill>
                  <a:srgbClr val="FFFFFF"/>
                </a:solidFill>
              </a:ln>
            </c:spPr>
            <c:extLst>
              <c:ext xmlns:c16="http://schemas.microsoft.com/office/drawing/2014/chart" uri="{C3380CC4-5D6E-409C-BE32-E72D297353CC}">
                <c16:uniqueId val="{00000003-9080-4A1F-B5EE-593DFA2ABD4A}"/>
              </c:ext>
            </c:extLst>
          </c:dPt>
          <c:dPt>
            <c:idx val="2"/>
            <c:bubble3D val="0"/>
            <c:spPr>
              <a:solidFill>
                <a:srgbClr val="E87308"/>
              </a:solidFill>
              <a:ln>
                <a:solidFill>
                  <a:srgbClr val="FFFFFF"/>
                </a:solidFill>
              </a:ln>
            </c:spPr>
            <c:extLst>
              <c:ext xmlns:c16="http://schemas.microsoft.com/office/drawing/2014/chart" uri="{C3380CC4-5D6E-409C-BE32-E72D297353CC}">
                <c16:uniqueId val="{00000005-9080-4A1F-B5EE-593DFA2ABD4A}"/>
              </c:ext>
            </c:extLst>
          </c:dPt>
          <c:dPt>
            <c:idx val="3"/>
            <c:bubble3D val="0"/>
            <c:spPr>
              <a:solidFill>
                <a:srgbClr val="E84A38"/>
              </a:solidFill>
              <a:ln>
                <a:solidFill>
                  <a:srgbClr val="FFFFFF"/>
                </a:solidFill>
              </a:ln>
            </c:spPr>
            <c:extLst>
              <c:ext xmlns:c16="http://schemas.microsoft.com/office/drawing/2014/chart" uri="{C3380CC4-5D6E-409C-BE32-E72D297353CC}">
                <c16:uniqueId val="{00000007-9080-4A1F-B5EE-593DFA2ABD4A}"/>
              </c:ext>
            </c:extLst>
          </c:dPt>
          <c:dPt>
            <c:idx val="4"/>
            <c:bubble3D val="0"/>
            <c:spPr>
              <a:solidFill>
                <a:srgbClr val="C1D119"/>
              </a:solidFill>
              <a:ln>
                <a:solidFill>
                  <a:srgbClr val="FFFFFF"/>
                </a:solidFill>
              </a:ln>
            </c:spPr>
            <c:extLst>
              <c:ext xmlns:c16="http://schemas.microsoft.com/office/drawing/2014/chart" uri="{C3380CC4-5D6E-409C-BE32-E72D297353CC}">
                <c16:uniqueId val="{00000009-9080-4A1F-B5EE-593DFA2ABD4A}"/>
              </c:ext>
            </c:extLst>
          </c:dPt>
          <c:dPt>
            <c:idx val="5"/>
            <c:bubble3D val="0"/>
            <c:spPr>
              <a:solidFill>
                <a:srgbClr val="55585A"/>
              </a:solidFill>
              <a:ln>
                <a:solidFill>
                  <a:srgbClr val="FFFFFF"/>
                </a:solidFill>
              </a:ln>
            </c:spPr>
            <c:extLst>
              <c:ext xmlns:c16="http://schemas.microsoft.com/office/drawing/2014/chart" uri="{C3380CC4-5D6E-409C-BE32-E72D297353CC}">
                <c16:uniqueId val="{0000000B-9080-4A1F-B5EE-593DFA2ABD4A}"/>
              </c:ext>
            </c:extLst>
          </c:dPt>
          <c:cat>
            <c:strRef>
              <c:f>Longliners!$B$78:$B$83</c:f>
              <c:strCache>
                <c:ptCount val="6"/>
                <c:pt idx="0">
                  <c:v>Hake - 42.5%</c:v>
                </c:pt>
                <c:pt idx="1">
                  <c:v>Ling - 35.3%</c:v>
                </c:pt>
                <c:pt idx="2">
                  <c:v>Razor Clam - 8.9%</c:v>
                </c:pt>
                <c:pt idx="3">
                  <c:v>Blue Ling - 5.0%</c:v>
                </c:pt>
                <c:pt idx="4">
                  <c:v>Scallops - 4.4%</c:v>
                </c:pt>
                <c:pt idx="5">
                  <c:v>Others - 3.8%</c:v>
                </c:pt>
              </c:strCache>
            </c:strRef>
          </c:cat>
          <c:val>
            <c:numRef>
              <c:f>Longliners!$C$78:$C$83</c:f>
              <c:numCache>
                <c:formatCode>0.0%</c:formatCode>
                <c:ptCount val="6"/>
                <c:pt idx="0">
                  <c:v>0.42538071477672018</c:v>
                </c:pt>
                <c:pt idx="1">
                  <c:v>0.35349247438320913</c:v>
                </c:pt>
                <c:pt idx="2">
                  <c:v>8.8640227791894552E-2</c:v>
                </c:pt>
                <c:pt idx="3">
                  <c:v>5.0330862582519183E-2</c:v>
                </c:pt>
                <c:pt idx="4">
                  <c:v>4.4088838045619944E-2</c:v>
                </c:pt>
                <c:pt idx="5">
                  <c:v>3.8066882420037085E-2</c:v>
                </c:pt>
              </c:numCache>
            </c:numRef>
          </c:val>
          <c:extLst>
            <c:ext xmlns:c16="http://schemas.microsoft.com/office/drawing/2014/chart" uri="{C3380CC4-5D6E-409C-BE32-E72D297353CC}">
              <c16:uniqueId val="{0000000C-9080-4A1F-B5EE-593DFA2ABD4A}"/>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trawl'!$F$77</c:f>
          <c:strCache>
            <c:ptCount val="1"/>
            <c:pt idx="0">
              <c:v>Top 5 landed species by value in 2021
Area VIIA demersal trawl</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F4B-43A8-B6BD-1636D22BF435}"/>
              </c:ext>
            </c:extLst>
          </c:dPt>
          <c:dPt>
            <c:idx val="1"/>
            <c:bubble3D val="0"/>
            <c:spPr>
              <a:solidFill>
                <a:srgbClr val="E87308"/>
              </a:solidFill>
              <a:ln>
                <a:solidFill>
                  <a:srgbClr val="FFFFFF"/>
                </a:solidFill>
              </a:ln>
            </c:spPr>
            <c:extLst>
              <c:ext xmlns:c16="http://schemas.microsoft.com/office/drawing/2014/chart" uri="{C3380CC4-5D6E-409C-BE32-E72D297353CC}">
                <c16:uniqueId val="{00000003-7F4B-43A8-B6BD-1636D22BF435}"/>
              </c:ext>
            </c:extLst>
          </c:dPt>
          <c:dPt>
            <c:idx val="2"/>
            <c:bubble3D val="0"/>
            <c:spPr>
              <a:solidFill>
                <a:srgbClr val="648C2E"/>
              </a:solidFill>
              <a:ln>
                <a:solidFill>
                  <a:srgbClr val="FFFFFF"/>
                </a:solidFill>
              </a:ln>
            </c:spPr>
            <c:extLst>
              <c:ext xmlns:c16="http://schemas.microsoft.com/office/drawing/2014/chart" uri="{C3380CC4-5D6E-409C-BE32-E72D297353CC}">
                <c16:uniqueId val="{00000005-7F4B-43A8-B6BD-1636D22BF435}"/>
              </c:ext>
            </c:extLst>
          </c:dPt>
          <c:dPt>
            <c:idx val="3"/>
            <c:bubble3D val="0"/>
            <c:spPr>
              <a:solidFill>
                <a:srgbClr val="C1D119"/>
              </a:solidFill>
              <a:ln>
                <a:solidFill>
                  <a:srgbClr val="FFFFFF"/>
                </a:solidFill>
              </a:ln>
            </c:spPr>
            <c:extLst>
              <c:ext xmlns:c16="http://schemas.microsoft.com/office/drawing/2014/chart" uri="{C3380CC4-5D6E-409C-BE32-E72D297353CC}">
                <c16:uniqueId val="{00000007-7F4B-43A8-B6BD-1636D22BF435}"/>
              </c:ext>
            </c:extLst>
          </c:dPt>
          <c:dPt>
            <c:idx val="4"/>
            <c:bubble3D val="0"/>
            <c:spPr>
              <a:solidFill>
                <a:srgbClr val="E84A38"/>
              </a:solidFill>
              <a:ln>
                <a:solidFill>
                  <a:srgbClr val="FFFFFF"/>
                </a:solidFill>
              </a:ln>
            </c:spPr>
            <c:extLst>
              <c:ext xmlns:c16="http://schemas.microsoft.com/office/drawing/2014/chart" uri="{C3380CC4-5D6E-409C-BE32-E72D297353CC}">
                <c16:uniqueId val="{00000009-7F4B-43A8-B6BD-1636D22BF435}"/>
              </c:ext>
            </c:extLst>
          </c:dPt>
          <c:dPt>
            <c:idx val="5"/>
            <c:bubble3D val="0"/>
            <c:spPr>
              <a:solidFill>
                <a:srgbClr val="55585A"/>
              </a:solidFill>
              <a:ln>
                <a:solidFill>
                  <a:srgbClr val="FFFFFF"/>
                </a:solidFill>
              </a:ln>
            </c:spPr>
            <c:extLst>
              <c:ext xmlns:c16="http://schemas.microsoft.com/office/drawing/2014/chart" uri="{C3380CC4-5D6E-409C-BE32-E72D297353CC}">
                <c16:uniqueId val="{0000000B-7F4B-43A8-B6BD-1636D22BF435}"/>
              </c:ext>
            </c:extLst>
          </c:dPt>
          <c:cat>
            <c:strRef>
              <c:f>'Area VIIa demersal trawl'!$G$78:$G$83</c:f>
              <c:strCache>
                <c:ptCount val="6"/>
                <c:pt idx="0">
                  <c:v>Haddock - 43.0%</c:v>
                </c:pt>
                <c:pt idx="1">
                  <c:v>Scallops - 14.6%</c:v>
                </c:pt>
                <c:pt idx="2">
                  <c:v>Hake - 13.4%</c:v>
                </c:pt>
                <c:pt idx="3">
                  <c:v>Cod - 11.2%</c:v>
                </c:pt>
                <c:pt idx="4">
                  <c:v>Nephrops - 10.4%</c:v>
                </c:pt>
                <c:pt idx="5">
                  <c:v>Others - 7.4%</c:v>
                </c:pt>
              </c:strCache>
            </c:strRef>
          </c:cat>
          <c:val>
            <c:numRef>
              <c:f>'Area VIIa demersal trawl'!$H$78:$H$83</c:f>
              <c:numCache>
                <c:formatCode>0.0%</c:formatCode>
                <c:ptCount val="6"/>
                <c:pt idx="0">
                  <c:v>0.43044225298700872</c:v>
                </c:pt>
                <c:pt idx="1">
                  <c:v>0.1458970705582418</c:v>
                </c:pt>
                <c:pt idx="2">
                  <c:v>0.13422708547620046</c:v>
                </c:pt>
                <c:pt idx="3">
                  <c:v>0.11203977488618937</c:v>
                </c:pt>
                <c:pt idx="4">
                  <c:v>0.1038239321780841</c:v>
                </c:pt>
                <c:pt idx="5">
                  <c:v>7.3569883914275658E-2</c:v>
                </c:pt>
              </c:numCache>
            </c:numRef>
          </c:val>
          <c:extLst>
            <c:ext xmlns:c16="http://schemas.microsoft.com/office/drawing/2014/chart" uri="{C3380CC4-5D6E-409C-BE32-E72D297353CC}">
              <c16:uniqueId val="{0000000C-7F4B-43A8-B6BD-1636D22BF43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Longliners!$F$77</c:f>
          <c:strCache>
            <c:ptCount val="1"/>
            <c:pt idx="0">
              <c:v>Top 5 landed species by value in 2021
Longliners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DE7-49AE-A2A3-77541F59C2D3}"/>
              </c:ext>
            </c:extLst>
          </c:dPt>
          <c:dPt>
            <c:idx val="1"/>
            <c:bubble3D val="0"/>
            <c:spPr>
              <a:solidFill>
                <a:srgbClr val="E87308"/>
              </a:solidFill>
              <a:ln>
                <a:solidFill>
                  <a:srgbClr val="FFFFFF"/>
                </a:solidFill>
              </a:ln>
            </c:spPr>
            <c:extLst>
              <c:ext xmlns:c16="http://schemas.microsoft.com/office/drawing/2014/chart" uri="{C3380CC4-5D6E-409C-BE32-E72D297353CC}">
                <c16:uniqueId val="{00000003-7DE7-49AE-A2A3-77541F59C2D3}"/>
              </c:ext>
            </c:extLst>
          </c:dPt>
          <c:dPt>
            <c:idx val="2"/>
            <c:bubble3D val="0"/>
            <c:spPr>
              <a:solidFill>
                <a:srgbClr val="648C2E"/>
              </a:solidFill>
              <a:ln>
                <a:solidFill>
                  <a:srgbClr val="FFFFFF"/>
                </a:solidFill>
              </a:ln>
            </c:spPr>
            <c:extLst>
              <c:ext xmlns:c16="http://schemas.microsoft.com/office/drawing/2014/chart" uri="{C3380CC4-5D6E-409C-BE32-E72D297353CC}">
                <c16:uniqueId val="{00000005-7DE7-49AE-A2A3-77541F59C2D3}"/>
              </c:ext>
            </c:extLst>
          </c:dPt>
          <c:dPt>
            <c:idx val="3"/>
            <c:bubble3D val="0"/>
            <c:spPr>
              <a:solidFill>
                <a:srgbClr val="C1D119"/>
              </a:solidFill>
              <a:ln>
                <a:solidFill>
                  <a:srgbClr val="FFFFFF"/>
                </a:solidFill>
              </a:ln>
            </c:spPr>
            <c:extLst>
              <c:ext xmlns:c16="http://schemas.microsoft.com/office/drawing/2014/chart" uri="{C3380CC4-5D6E-409C-BE32-E72D297353CC}">
                <c16:uniqueId val="{00000007-7DE7-49AE-A2A3-77541F59C2D3}"/>
              </c:ext>
            </c:extLst>
          </c:dPt>
          <c:dPt>
            <c:idx val="4"/>
            <c:bubble3D val="0"/>
            <c:spPr>
              <a:solidFill>
                <a:srgbClr val="E84A38"/>
              </a:solidFill>
              <a:ln>
                <a:solidFill>
                  <a:srgbClr val="FFFFFF"/>
                </a:solidFill>
              </a:ln>
            </c:spPr>
            <c:extLst>
              <c:ext xmlns:c16="http://schemas.microsoft.com/office/drawing/2014/chart" uri="{C3380CC4-5D6E-409C-BE32-E72D297353CC}">
                <c16:uniqueId val="{00000009-7DE7-49AE-A2A3-77541F59C2D3}"/>
              </c:ext>
            </c:extLst>
          </c:dPt>
          <c:dPt>
            <c:idx val="5"/>
            <c:bubble3D val="0"/>
            <c:spPr>
              <a:solidFill>
                <a:srgbClr val="55585A"/>
              </a:solidFill>
              <a:ln>
                <a:solidFill>
                  <a:srgbClr val="FFFFFF"/>
                </a:solidFill>
              </a:ln>
            </c:spPr>
            <c:extLst>
              <c:ext xmlns:c16="http://schemas.microsoft.com/office/drawing/2014/chart" uri="{C3380CC4-5D6E-409C-BE32-E72D297353CC}">
                <c16:uniqueId val="{0000000B-7DE7-49AE-A2A3-77541F59C2D3}"/>
              </c:ext>
            </c:extLst>
          </c:dPt>
          <c:cat>
            <c:strRef>
              <c:f>Longliners!$G$78:$G$83</c:f>
              <c:strCache>
                <c:ptCount val="6"/>
                <c:pt idx="0">
                  <c:v>Hake - 41.6%</c:v>
                </c:pt>
                <c:pt idx="1">
                  <c:v>Razor Clam - 31.1%</c:v>
                </c:pt>
                <c:pt idx="2">
                  <c:v>Ling - 17.6%</c:v>
                </c:pt>
                <c:pt idx="3">
                  <c:v>Scallops - 5.6%</c:v>
                </c:pt>
                <c:pt idx="4">
                  <c:v>Blue Ling - 1.6%</c:v>
                </c:pt>
                <c:pt idx="5">
                  <c:v>Others - 2.5%</c:v>
                </c:pt>
              </c:strCache>
            </c:strRef>
          </c:cat>
          <c:val>
            <c:numRef>
              <c:f>Longliners!$H$78:$H$83</c:f>
              <c:numCache>
                <c:formatCode>0.0%</c:formatCode>
                <c:ptCount val="6"/>
                <c:pt idx="0">
                  <c:v>0.41617946608046552</c:v>
                </c:pt>
                <c:pt idx="1">
                  <c:v>0.31092837014013708</c:v>
                </c:pt>
                <c:pt idx="2">
                  <c:v>0.17630816406862984</c:v>
                </c:pt>
                <c:pt idx="3">
                  <c:v>5.590177548267309E-2</c:v>
                </c:pt>
                <c:pt idx="4">
                  <c:v>1.5985675137923865E-2</c:v>
                </c:pt>
                <c:pt idx="5">
                  <c:v>2.4696549090170716E-2</c:v>
                </c:pt>
              </c:numCache>
            </c:numRef>
          </c:val>
          <c:extLst>
            <c:ext xmlns:c16="http://schemas.microsoft.com/office/drawing/2014/chart" uri="{C3380CC4-5D6E-409C-BE32-E72D297353CC}">
              <c16:uniqueId val="{0000000C-7DE7-49AE-A2A3-77541F59C2D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Longliners!$C$93</c:f>
              <c:strCache>
                <c:ptCount val="1"/>
                <c:pt idx="0">
                  <c:v>Hake</c:v>
                </c:pt>
              </c:strCache>
            </c:strRef>
          </c:tx>
          <c:spPr>
            <a:solidFill>
              <a:srgbClr val="2273B9"/>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Longliners!$D$93:$M$93</c:f>
              <c:numCache>
                <c:formatCode>0%</c:formatCode>
                <c:ptCount val="10"/>
                <c:pt idx="0">
                  <c:v>0.77251713704878411</c:v>
                </c:pt>
                <c:pt idx="1">
                  <c:v>0.82886590506460256</c:v>
                </c:pt>
                <c:pt idx="2">
                  <c:v>0.85433518841478073</c:v>
                </c:pt>
                <c:pt idx="3">
                  <c:v>0.85273885245006398</c:v>
                </c:pt>
                <c:pt idx="4">
                  <c:v>0.78974387224925413</c:v>
                </c:pt>
                <c:pt idx="5">
                  <c:v>0.62623878460077564</c:v>
                </c:pt>
                <c:pt idx="6">
                  <c:v>0.55037423250850659</c:v>
                </c:pt>
                <c:pt idx="7">
                  <c:v>0.48857567915403849</c:v>
                </c:pt>
                <c:pt idx="8">
                  <c:v>0.41617946608046552</c:v>
                </c:pt>
                <c:pt idx="9">
                  <c:v>0.56722794665791376</c:v>
                </c:pt>
              </c:numCache>
            </c:numRef>
          </c:val>
          <c:extLst>
            <c:ext xmlns:c16="http://schemas.microsoft.com/office/drawing/2014/chart" uri="{C3380CC4-5D6E-409C-BE32-E72D297353CC}">
              <c16:uniqueId val="{00000000-516B-4E7D-A521-1966939CAA7D}"/>
            </c:ext>
          </c:extLst>
        </c:ser>
        <c:ser>
          <c:idx val="1"/>
          <c:order val="1"/>
          <c:tx>
            <c:strRef>
              <c:f>Longliners!$C$94</c:f>
              <c:strCache>
                <c:ptCount val="1"/>
                <c:pt idx="0">
                  <c:v>Razor Clam</c:v>
                </c:pt>
              </c:strCache>
            </c:strRef>
          </c:tx>
          <c:spPr>
            <a:solidFill>
              <a:srgbClr val="E87308"/>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Longliners!$D$94:$M$94</c:f>
              <c:numCache>
                <c:formatCode>0%</c:formatCode>
                <c:ptCount val="10"/>
                <c:pt idx="0">
                  <c:v>4.8218504913571207E-2</c:v>
                </c:pt>
                <c:pt idx="1">
                  <c:v>2.773072738886798E-2</c:v>
                </c:pt>
                <c:pt idx="2">
                  <c:v>1.0827484286813585E-2</c:v>
                </c:pt>
                <c:pt idx="3">
                  <c:v>6.1709674498083922E-3</c:v>
                </c:pt>
                <c:pt idx="4">
                  <c:v>5.1093453739004438E-2</c:v>
                </c:pt>
                <c:pt idx="5">
                  <c:v>0.15464122720560539</c:v>
                </c:pt>
                <c:pt idx="6">
                  <c:v>0.19685639576996816</c:v>
                </c:pt>
                <c:pt idx="7">
                  <c:v>0.12201288857291731</c:v>
                </c:pt>
                <c:pt idx="8">
                  <c:v>0.31092837014013708</c:v>
                </c:pt>
                <c:pt idx="9">
                  <c:v>0.19714815621185555</c:v>
                </c:pt>
              </c:numCache>
            </c:numRef>
          </c:val>
          <c:extLst>
            <c:ext xmlns:c16="http://schemas.microsoft.com/office/drawing/2014/chart" uri="{C3380CC4-5D6E-409C-BE32-E72D297353CC}">
              <c16:uniqueId val="{00000001-516B-4E7D-A521-1966939CAA7D}"/>
            </c:ext>
          </c:extLst>
        </c:ser>
        <c:ser>
          <c:idx val="2"/>
          <c:order val="2"/>
          <c:tx>
            <c:strRef>
              <c:f>Longliners!$C$95</c:f>
              <c:strCache>
                <c:ptCount val="1"/>
                <c:pt idx="0">
                  <c:v>Ling</c:v>
                </c:pt>
              </c:strCache>
            </c:strRef>
          </c:tx>
          <c:spPr>
            <a:solidFill>
              <a:srgbClr val="648C2E"/>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Longliners!$D$95:$M$95</c:f>
              <c:numCache>
                <c:formatCode>0%</c:formatCode>
                <c:ptCount val="10"/>
                <c:pt idx="0">
                  <c:v>9.8627719267732006E-2</c:v>
                </c:pt>
                <c:pt idx="1">
                  <c:v>8.4828384703029266E-2</c:v>
                </c:pt>
                <c:pt idx="2">
                  <c:v>8.6959471584404952E-2</c:v>
                </c:pt>
                <c:pt idx="3">
                  <c:v>8.565323313943779E-2</c:v>
                </c:pt>
                <c:pt idx="4">
                  <c:v>0.10793561137311583</c:v>
                </c:pt>
                <c:pt idx="5">
                  <c:v>0.13563223483278045</c:v>
                </c:pt>
                <c:pt idx="6">
                  <c:v>0.18023410916818863</c:v>
                </c:pt>
                <c:pt idx="7">
                  <c:v>0.1766562387316577</c:v>
                </c:pt>
                <c:pt idx="8">
                  <c:v>0.17630816406862984</c:v>
                </c:pt>
                <c:pt idx="9">
                  <c:v>0.14636362970840397</c:v>
                </c:pt>
              </c:numCache>
            </c:numRef>
          </c:val>
          <c:extLst>
            <c:ext xmlns:c16="http://schemas.microsoft.com/office/drawing/2014/chart" uri="{C3380CC4-5D6E-409C-BE32-E72D297353CC}">
              <c16:uniqueId val="{00000002-516B-4E7D-A521-1966939CAA7D}"/>
            </c:ext>
          </c:extLst>
        </c:ser>
        <c:ser>
          <c:idx val="3"/>
          <c:order val="3"/>
          <c:tx>
            <c:strRef>
              <c:f>Longliners!$C$96</c:f>
              <c:strCache>
                <c:ptCount val="1"/>
                <c:pt idx="0">
                  <c:v>Scallops</c:v>
                </c:pt>
              </c:strCache>
            </c:strRef>
          </c:tx>
          <c:spPr>
            <a:solidFill>
              <a:srgbClr val="C1D119"/>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Longliners!$D$96:$M$96</c:f>
              <c:numCache>
                <c:formatCode>0%</c:formatCode>
                <c:ptCount val="10"/>
                <c:pt idx="0">
                  <c:v>2.5070644811656256E-2</c:v>
                </c:pt>
                <c:pt idx="1">
                  <c:v>2.3096498326687028E-2</c:v>
                </c:pt>
                <c:pt idx="2">
                  <c:v>2.8381553718189002E-2</c:v>
                </c:pt>
                <c:pt idx="3">
                  <c:v>3.6694536054882057E-2</c:v>
                </c:pt>
                <c:pt idx="4">
                  <c:v>3.18145290402869E-2</c:v>
                </c:pt>
                <c:pt idx="5">
                  <c:v>4.5565192425725265E-2</c:v>
                </c:pt>
                <c:pt idx="6">
                  <c:v>4.6610860935642213E-2</c:v>
                </c:pt>
                <c:pt idx="8">
                  <c:v>5.590177548267309E-2</c:v>
                </c:pt>
                <c:pt idx="9">
                  <c:v>4.8229991216747641E-2</c:v>
                </c:pt>
              </c:numCache>
            </c:numRef>
          </c:val>
          <c:extLst>
            <c:ext xmlns:c16="http://schemas.microsoft.com/office/drawing/2014/chart" uri="{C3380CC4-5D6E-409C-BE32-E72D297353CC}">
              <c16:uniqueId val="{00000003-516B-4E7D-A521-1966939CAA7D}"/>
            </c:ext>
          </c:extLst>
        </c:ser>
        <c:ser>
          <c:idx val="4"/>
          <c:order val="4"/>
          <c:tx>
            <c:strRef>
              <c:f>Longliners!$C$97</c:f>
              <c:strCache>
                <c:ptCount val="1"/>
                <c:pt idx="0">
                  <c:v>Blue Ling</c:v>
                </c:pt>
              </c:strCache>
            </c:strRef>
          </c:tx>
          <c:spPr>
            <a:solidFill>
              <a:srgbClr val="E84A38"/>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Longliners!$D$97:$M$97</c:f>
              <c:numCache>
                <c:formatCode>0%</c:formatCode>
                <c:ptCount val="10"/>
                <c:pt idx="8">
                  <c:v>1.5985675137923865E-2</c:v>
                </c:pt>
              </c:numCache>
            </c:numRef>
          </c:val>
          <c:extLst>
            <c:ext xmlns:c16="http://schemas.microsoft.com/office/drawing/2014/chart" uri="{C3380CC4-5D6E-409C-BE32-E72D297353CC}">
              <c16:uniqueId val="{00000004-516B-4E7D-A521-1966939CAA7D}"/>
            </c:ext>
          </c:extLst>
        </c:ser>
        <c:ser>
          <c:idx val="5"/>
          <c:order val="5"/>
          <c:tx>
            <c:strRef>
              <c:f>Longliners!$C$98</c:f>
              <c:strCache>
                <c:ptCount val="1"/>
                <c:pt idx="0">
                  <c:v>Pollack</c:v>
                </c:pt>
              </c:strCache>
            </c:strRef>
          </c:tx>
          <c:spPr>
            <a:solidFill>
              <a:srgbClr val="0F9AA9"/>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Longliners!$D$98:$M$98</c:f>
              <c:numCache>
                <c:formatCode>0%</c:formatCode>
                <c:ptCount val="10"/>
                <c:pt idx="6">
                  <c:v>6.4379576905784861E-3</c:v>
                </c:pt>
                <c:pt idx="9">
                  <c:v>1.4176534728175793E-2</c:v>
                </c:pt>
              </c:numCache>
            </c:numRef>
          </c:val>
          <c:extLst>
            <c:ext xmlns:c16="http://schemas.microsoft.com/office/drawing/2014/chart" uri="{C3380CC4-5D6E-409C-BE32-E72D297353CC}">
              <c16:uniqueId val="{00000005-516B-4E7D-A521-1966939CAA7D}"/>
            </c:ext>
          </c:extLst>
        </c:ser>
        <c:ser>
          <c:idx val="6"/>
          <c:order val="6"/>
          <c:tx>
            <c:strRef>
              <c:f>Longliners!$C$99</c:f>
              <c:strCache>
                <c:ptCount val="1"/>
                <c:pt idx="0">
                  <c:v>Blue Shark</c:v>
                </c:pt>
              </c:strCache>
            </c:strRef>
          </c:tx>
          <c:spPr>
            <a:solidFill>
              <a:srgbClr val="FED825"/>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Longliners!$D$99:$M$99</c:f>
              <c:numCache>
                <c:formatCode>0%</c:formatCode>
                <c:ptCount val="10"/>
                <c:pt idx="7">
                  <c:v>8.4895326214528638E-2</c:v>
                </c:pt>
              </c:numCache>
            </c:numRef>
          </c:val>
          <c:extLst>
            <c:ext xmlns:c16="http://schemas.microsoft.com/office/drawing/2014/chart" uri="{C3380CC4-5D6E-409C-BE32-E72D297353CC}">
              <c16:uniqueId val="{00000006-516B-4E7D-A521-1966939CAA7D}"/>
            </c:ext>
          </c:extLst>
        </c:ser>
        <c:ser>
          <c:idx val="7"/>
          <c:order val="7"/>
          <c:tx>
            <c:strRef>
              <c:f>Longliners!$C$100</c:f>
              <c:strCache>
                <c:ptCount val="1"/>
                <c:pt idx="0">
                  <c:v>Swordfish</c:v>
                </c:pt>
              </c:strCache>
            </c:strRef>
          </c:tx>
          <c:spPr>
            <a:solidFill>
              <a:srgbClr val="707271"/>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Longliners!$D$100:$M$100</c:f>
              <c:numCache>
                <c:formatCode>0%</c:formatCode>
                <c:ptCount val="10"/>
                <c:pt idx="7">
                  <c:v>5.2336342153091006E-2</c:v>
                </c:pt>
              </c:numCache>
            </c:numRef>
          </c:val>
          <c:extLst>
            <c:ext xmlns:c16="http://schemas.microsoft.com/office/drawing/2014/chart" uri="{C3380CC4-5D6E-409C-BE32-E72D297353CC}">
              <c16:uniqueId val="{00000007-516B-4E7D-A521-1966939CAA7D}"/>
            </c:ext>
          </c:extLst>
        </c:ser>
        <c:ser>
          <c:idx val="8"/>
          <c:order val="8"/>
          <c:tx>
            <c:strRef>
              <c:f>Longliners!$C$101</c:f>
              <c:strCache>
                <c:ptCount val="1"/>
                <c:pt idx="0">
                  <c:v>Anglerfish</c:v>
                </c:pt>
              </c:strCache>
            </c:strRef>
          </c:tx>
          <c:spPr>
            <a:solidFill>
              <a:srgbClr val="51AA81"/>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Longliners!$D$101:$M$101</c:f>
              <c:numCache>
                <c:formatCode>0%</c:formatCode>
                <c:ptCount val="10"/>
                <c:pt idx="1">
                  <c:v>9.9895653939406012E-3</c:v>
                </c:pt>
                <c:pt idx="5">
                  <c:v>1.5393710909801709E-2</c:v>
                </c:pt>
              </c:numCache>
            </c:numRef>
          </c:val>
          <c:extLst>
            <c:ext xmlns:c16="http://schemas.microsoft.com/office/drawing/2014/chart" uri="{C3380CC4-5D6E-409C-BE32-E72D297353CC}">
              <c16:uniqueId val="{00000008-516B-4E7D-A521-1966939CAA7D}"/>
            </c:ext>
          </c:extLst>
        </c:ser>
        <c:ser>
          <c:idx val="9"/>
          <c:order val="9"/>
          <c:tx>
            <c:strRef>
              <c:f>Longliners!$C$102</c:f>
              <c:strCache>
                <c:ptCount val="1"/>
                <c:pt idx="0">
                  <c:v>Bass</c:v>
                </c:pt>
              </c:strCache>
            </c:strRef>
          </c:tx>
          <c:spPr>
            <a:solidFill>
              <a:srgbClr val="169FDB"/>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Longliners!$D$102:$M$102</c:f>
              <c:numCache>
                <c:formatCode>0%</c:formatCode>
                <c:ptCount val="10"/>
                <c:pt idx="4">
                  <c:v>6.5065834689158331E-3</c:v>
                </c:pt>
              </c:numCache>
            </c:numRef>
          </c:val>
          <c:extLst>
            <c:ext xmlns:c16="http://schemas.microsoft.com/office/drawing/2014/chart" uri="{C3380CC4-5D6E-409C-BE32-E72D297353CC}">
              <c16:uniqueId val="{00000009-516B-4E7D-A521-1966939CAA7D}"/>
            </c:ext>
          </c:extLst>
        </c:ser>
        <c:ser>
          <c:idx val="10"/>
          <c:order val="10"/>
          <c:tx>
            <c:strRef>
              <c:f>Longliners!$C$103</c:f>
              <c:strCache>
                <c:ptCount val="1"/>
                <c:pt idx="0">
                  <c:v>Blue Mouth Redfish</c:v>
                </c:pt>
              </c:strCache>
            </c:strRef>
          </c:tx>
          <c:spPr>
            <a:solidFill>
              <a:srgbClr val="E40D2C"/>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Longliners!$D$103:$M$103</c:f>
              <c:numCache>
                <c:formatCode>0%</c:formatCode>
                <c:ptCount val="10"/>
                <c:pt idx="2">
                  <c:v>4.866216476330832E-3</c:v>
                </c:pt>
                <c:pt idx="3">
                  <c:v>5.9282231266326825E-3</c:v>
                </c:pt>
              </c:numCache>
            </c:numRef>
          </c:val>
          <c:extLst>
            <c:ext xmlns:c16="http://schemas.microsoft.com/office/drawing/2014/chart" uri="{C3380CC4-5D6E-409C-BE32-E72D297353CC}">
              <c16:uniqueId val="{0000000A-516B-4E7D-A521-1966939CAA7D}"/>
            </c:ext>
          </c:extLst>
        </c:ser>
        <c:ser>
          <c:idx val="11"/>
          <c:order val="11"/>
          <c:tx>
            <c:strRef>
              <c:f>Longliners!$C$104</c:f>
              <c:strCache>
                <c:ptCount val="1"/>
                <c:pt idx="0">
                  <c:v>Albacore</c:v>
                </c:pt>
              </c:strCache>
            </c:strRef>
          </c:tx>
          <c:spPr>
            <a:solidFill>
              <a:srgbClr val="B4C3E5"/>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Longliners!$D$104:$M$104</c:f>
              <c:numCache>
                <c:formatCode>0%</c:formatCode>
                <c:ptCount val="10"/>
                <c:pt idx="0">
                  <c:v>1.9595248431234748E-2</c:v>
                </c:pt>
              </c:numCache>
            </c:numRef>
          </c:val>
          <c:extLst>
            <c:ext xmlns:c16="http://schemas.microsoft.com/office/drawing/2014/chart" uri="{C3380CC4-5D6E-409C-BE32-E72D297353CC}">
              <c16:uniqueId val="{0000000B-516B-4E7D-A521-1966939CAA7D}"/>
            </c:ext>
          </c:extLst>
        </c:ser>
        <c:ser>
          <c:idx val="12"/>
          <c:order val="12"/>
          <c:tx>
            <c:strRef>
              <c:f>Longliners!$C$105</c:f>
              <c:strCache>
                <c:ptCount val="1"/>
                <c:pt idx="0">
                  <c:v>Others</c:v>
                </c:pt>
              </c:strCache>
            </c:strRef>
          </c:tx>
          <c:spPr>
            <a:solidFill>
              <a:srgbClr val="55585A"/>
            </a:solidFill>
            <a:ln>
              <a:solidFill>
                <a:srgbClr val="FFFFFF"/>
              </a:solidFill>
            </a:ln>
          </c:spPr>
          <c:invertIfNegative val="0"/>
          <c:cat>
            <c:numRef>
              <c:f>Longliners!$D$92:$M$92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Longliners!$D$105:$M$105</c:f>
              <c:numCache>
                <c:formatCode>0%</c:formatCode>
                <c:ptCount val="10"/>
                <c:pt idx="0">
                  <c:v>3.5970745527021696E-2</c:v>
                </c:pt>
                <c:pt idx="1">
                  <c:v>2.5488919122872579E-2</c:v>
                </c:pt>
                <c:pt idx="2">
                  <c:v>1.4630085519480931E-2</c:v>
                </c:pt>
                <c:pt idx="3">
                  <c:v>1.281418777917513E-2</c:v>
                </c:pt>
                <c:pt idx="4">
                  <c:v>1.2905950129422873E-2</c:v>
                </c:pt>
                <c:pt idx="5">
                  <c:v>2.2528850025311527E-2</c:v>
                </c:pt>
                <c:pt idx="6">
                  <c:v>1.948644392711588E-2</c:v>
                </c:pt>
                <c:pt idx="7">
                  <c:v>7.5523525173766842E-2</c:v>
                </c:pt>
                <c:pt idx="8">
                  <c:v>2.4696549090170626E-2</c:v>
                </c:pt>
                <c:pt idx="9">
                  <c:v>2.6853741476903305E-2</c:v>
                </c:pt>
              </c:numCache>
            </c:numRef>
          </c:val>
          <c:extLst>
            <c:ext xmlns:c16="http://schemas.microsoft.com/office/drawing/2014/chart" uri="{C3380CC4-5D6E-409C-BE32-E72D297353CC}">
              <c16:uniqueId val="{0000000C-516B-4E7D-A521-1966939CAA7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Longliners!$B$163</c:f>
              <c:strCache>
                <c:ptCount val="1"/>
                <c:pt idx="0">
                  <c:v>Hake</c:v>
                </c:pt>
              </c:strCache>
            </c:strRef>
          </c:tx>
          <c:spPr>
            <a:solidFill>
              <a:srgbClr val="2273B9"/>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Longliners!$C$163:$E$163</c:f>
              <c:numCache>
                <c:formatCode>0%</c:formatCode>
                <c:ptCount val="3"/>
                <c:pt idx="0">
                  <c:v>0</c:v>
                </c:pt>
                <c:pt idx="1">
                  <c:v>0.46503481091144933</c:v>
                </c:pt>
                <c:pt idx="2">
                  <c:v>0.43740085667358858</c:v>
                </c:pt>
              </c:numCache>
            </c:numRef>
          </c:val>
          <c:extLst>
            <c:ext xmlns:c16="http://schemas.microsoft.com/office/drawing/2014/chart" uri="{C3380CC4-5D6E-409C-BE32-E72D297353CC}">
              <c16:uniqueId val="{00000000-B54A-4DCD-9509-D49C1119539D}"/>
            </c:ext>
          </c:extLst>
        </c:ser>
        <c:ser>
          <c:idx val="1"/>
          <c:order val="1"/>
          <c:tx>
            <c:strRef>
              <c:f>Longliners!$B$164</c:f>
              <c:strCache>
                <c:ptCount val="1"/>
                <c:pt idx="0">
                  <c:v>Ling</c:v>
                </c:pt>
              </c:strCache>
            </c:strRef>
          </c:tx>
          <c:spPr>
            <a:solidFill>
              <a:srgbClr val="648C2E"/>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Longliners!$C$164:$E$164</c:f>
              <c:numCache>
                <c:formatCode>0%</c:formatCode>
                <c:ptCount val="3"/>
                <c:pt idx="0">
                  <c:v>0</c:v>
                </c:pt>
                <c:pt idx="1">
                  <c:v>0.40131933512002443</c:v>
                </c:pt>
                <c:pt idx="2">
                  <c:v>0.2444347690816083</c:v>
                </c:pt>
              </c:numCache>
            </c:numRef>
          </c:val>
          <c:extLst>
            <c:ext xmlns:c16="http://schemas.microsoft.com/office/drawing/2014/chart" uri="{C3380CC4-5D6E-409C-BE32-E72D297353CC}">
              <c16:uniqueId val="{00000001-B54A-4DCD-9509-D49C1119539D}"/>
            </c:ext>
          </c:extLst>
        </c:ser>
        <c:ser>
          <c:idx val="2"/>
          <c:order val="2"/>
          <c:tx>
            <c:strRef>
              <c:f>Longliners!$B$165</c:f>
              <c:strCache>
                <c:ptCount val="1"/>
                <c:pt idx="0">
                  <c:v>Blue Ling</c:v>
                </c:pt>
              </c:strCache>
            </c:strRef>
          </c:tx>
          <c:spPr>
            <a:solidFill>
              <a:srgbClr val="E84A38"/>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Longliners!$C$165:$E$165</c:f>
              <c:numCache>
                <c:formatCode>0%</c:formatCode>
                <c:ptCount val="3"/>
                <c:pt idx="0">
                  <c:v>0</c:v>
                </c:pt>
                <c:pt idx="1">
                  <c:v>6.1488976754396282E-2</c:v>
                </c:pt>
                <c:pt idx="2">
                  <c:v>0</c:v>
                </c:pt>
              </c:numCache>
            </c:numRef>
          </c:val>
          <c:extLst>
            <c:ext xmlns:c16="http://schemas.microsoft.com/office/drawing/2014/chart" uri="{C3380CC4-5D6E-409C-BE32-E72D297353CC}">
              <c16:uniqueId val="{00000002-B54A-4DCD-9509-D49C1119539D}"/>
            </c:ext>
          </c:extLst>
        </c:ser>
        <c:ser>
          <c:idx val="3"/>
          <c:order val="3"/>
          <c:tx>
            <c:strRef>
              <c:f>Longliners!$B$166</c:f>
              <c:strCache>
                <c:ptCount val="1"/>
                <c:pt idx="0">
                  <c:v>Scallops</c:v>
                </c:pt>
              </c:strCache>
            </c:strRef>
          </c:tx>
          <c:spPr>
            <a:solidFill>
              <a:srgbClr val="C1D119"/>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Longliners!$C$166:$E$166</c:f>
              <c:numCache>
                <c:formatCode>0%</c:formatCode>
                <c:ptCount val="3"/>
                <c:pt idx="0">
                  <c:v>0</c:v>
                </c:pt>
                <c:pt idx="1">
                  <c:v>1.7212267489947218E-2</c:v>
                </c:pt>
                <c:pt idx="2">
                  <c:v>0.29333724648901299</c:v>
                </c:pt>
              </c:numCache>
            </c:numRef>
          </c:val>
          <c:extLst>
            <c:ext xmlns:c16="http://schemas.microsoft.com/office/drawing/2014/chart" uri="{C3380CC4-5D6E-409C-BE32-E72D297353CC}">
              <c16:uniqueId val="{00000003-B54A-4DCD-9509-D49C1119539D}"/>
            </c:ext>
          </c:extLst>
        </c:ser>
        <c:ser>
          <c:idx val="4"/>
          <c:order val="4"/>
          <c:tx>
            <c:strRef>
              <c:f>Longliners!$B$167</c:f>
              <c:strCache>
                <c:ptCount val="1"/>
                <c:pt idx="0">
                  <c:v>Razor Clam</c:v>
                </c:pt>
              </c:strCache>
            </c:strRef>
          </c:tx>
          <c:spPr>
            <a:solidFill>
              <a:srgbClr val="E87308"/>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Longliners!$C$167:$E$167</c:f>
              <c:numCache>
                <c:formatCode>0%</c:formatCode>
                <c:ptCount val="3"/>
                <c:pt idx="0">
                  <c:v>1</c:v>
                </c:pt>
                <c:pt idx="1">
                  <c:v>1.4623712774230142E-2</c:v>
                </c:pt>
                <c:pt idx="2">
                  <c:v>0</c:v>
                </c:pt>
              </c:numCache>
            </c:numRef>
          </c:val>
          <c:extLst>
            <c:ext xmlns:c16="http://schemas.microsoft.com/office/drawing/2014/chart" uri="{C3380CC4-5D6E-409C-BE32-E72D297353CC}">
              <c16:uniqueId val="{00000004-B54A-4DCD-9509-D49C1119539D}"/>
            </c:ext>
          </c:extLst>
        </c:ser>
        <c:ser>
          <c:idx val="5"/>
          <c:order val="5"/>
          <c:tx>
            <c:strRef>
              <c:f>Longliners!$B$168</c:f>
              <c:strCache>
                <c:ptCount val="1"/>
                <c:pt idx="0">
                  <c:v>Pollack</c:v>
                </c:pt>
              </c:strCache>
            </c:strRef>
          </c:tx>
          <c:spPr>
            <a:solidFill>
              <a:srgbClr val="0F9AA9"/>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Longliners!$C$168:$E$168</c:f>
              <c:numCache>
                <c:formatCode>0%</c:formatCode>
                <c:ptCount val="3"/>
                <c:pt idx="0">
                  <c:v>0</c:v>
                </c:pt>
                <c:pt idx="1">
                  <c:v>0</c:v>
                </c:pt>
                <c:pt idx="2">
                  <c:v>2.0497396605865029E-2</c:v>
                </c:pt>
              </c:numCache>
            </c:numRef>
          </c:val>
          <c:extLst>
            <c:ext xmlns:c16="http://schemas.microsoft.com/office/drawing/2014/chart" uri="{C3380CC4-5D6E-409C-BE32-E72D297353CC}">
              <c16:uniqueId val="{00000005-B54A-4DCD-9509-D49C1119539D}"/>
            </c:ext>
          </c:extLst>
        </c:ser>
        <c:ser>
          <c:idx val="6"/>
          <c:order val="6"/>
          <c:tx>
            <c:strRef>
              <c:f>Longliners!$B$169</c:f>
              <c:strCache>
                <c:ptCount val="1"/>
                <c:pt idx="0">
                  <c:v>Blue Mouth Redfish</c:v>
                </c:pt>
              </c:strCache>
            </c:strRef>
          </c:tx>
          <c:spPr>
            <a:solidFill>
              <a:srgbClr val="FED825"/>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Longliners!$C$169:$E$169</c:f>
              <c:numCache>
                <c:formatCode>0%</c:formatCode>
                <c:ptCount val="3"/>
                <c:pt idx="0">
                  <c:v>0</c:v>
                </c:pt>
                <c:pt idx="1">
                  <c:v>0</c:v>
                </c:pt>
                <c:pt idx="2">
                  <c:v>2.3308339295016966E-3</c:v>
                </c:pt>
              </c:numCache>
            </c:numRef>
          </c:val>
          <c:extLst>
            <c:ext xmlns:c16="http://schemas.microsoft.com/office/drawing/2014/chart" uri="{C3380CC4-5D6E-409C-BE32-E72D297353CC}">
              <c16:uniqueId val="{00000006-B54A-4DCD-9509-D49C1119539D}"/>
            </c:ext>
          </c:extLst>
        </c:ser>
        <c:ser>
          <c:idx val="7"/>
          <c:order val="7"/>
          <c:tx>
            <c:strRef>
              <c:f>Longliners!$B$170</c:f>
              <c:strCache>
                <c:ptCount val="1"/>
                <c:pt idx="0">
                  <c:v>Others</c:v>
                </c:pt>
              </c:strCache>
            </c:strRef>
          </c:tx>
          <c:spPr>
            <a:solidFill>
              <a:srgbClr val="55585A"/>
            </a:solidFill>
            <a:ln>
              <a:solidFill>
                <a:srgbClr val="FFFFFF"/>
              </a:solidFill>
            </a:ln>
          </c:spPr>
          <c:invertIfNegative val="0"/>
          <c:cat>
            <c:strRef>
              <c:f>Longliners!$C$162:$E$162</c:f>
              <c:strCache>
                <c:ptCount val="3"/>
                <c:pt idx="0">
                  <c:v>Most
profitable
quartile</c:v>
                </c:pt>
                <c:pt idx="1">
                  <c:v>Middle 
two quartiles</c:v>
                </c:pt>
                <c:pt idx="2">
                  <c:v>Least
profitable
quartile</c:v>
                </c:pt>
              </c:strCache>
            </c:strRef>
          </c:cat>
          <c:val>
            <c:numRef>
              <c:f>Longliners!$C$170:$E$170</c:f>
              <c:numCache>
                <c:formatCode>0%</c:formatCode>
                <c:ptCount val="3"/>
                <c:pt idx="0">
                  <c:v>0</c:v>
                </c:pt>
                <c:pt idx="1">
                  <c:v>4.0320896949952667E-2</c:v>
                </c:pt>
                <c:pt idx="2">
                  <c:v>1.9988972204233457E-3</c:v>
                </c:pt>
              </c:numCache>
            </c:numRef>
          </c:val>
          <c:extLst>
            <c:ext xmlns:c16="http://schemas.microsoft.com/office/drawing/2014/chart" uri="{C3380CC4-5D6E-409C-BE32-E72D297353CC}">
              <c16:uniqueId val="{00000007-B54A-4DCD-9509-D49C1119539D}"/>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Longliners!$H$163</c:f>
              <c:strCache>
                <c:ptCount val="1"/>
                <c:pt idx="0">
                  <c:v>Hake</c:v>
                </c:pt>
              </c:strCache>
            </c:strRef>
          </c:tx>
          <c:spPr>
            <a:solidFill>
              <a:srgbClr val="2273B9"/>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Longliners!$I$163:$K$163</c:f>
              <c:numCache>
                <c:formatCode>0%</c:formatCode>
                <c:ptCount val="3"/>
                <c:pt idx="0">
                  <c:v>0</c:v>
                </c:pt>
                <c:pt idx="1">
                  <c:v>0.58933696431649452</c:v>
                </c:pt>
                <c:pt idx="2">
                  <c:v>0.44878182431020508</c:v>
                </c:pt>
              </c:numCache>
            </c:numRef>
          </c:val>
          <c:extLst>
            <c:ext xmlns:c16="http://schemas.microsoft.com/office/drawing/2014/chart" uri="{C3380CC4-5D6E-409C-BE32-E72D297353CC}">
              <c16:uniqueId val="{00000000-19A0-475B-96BB-8588DA70C234}"/>
            </c:ext>
          </c:extLst>
        </c:ser>
        <c:ser>
          <c:idx val="1"/>
          <c:order val="1"/>
          <c:tx>
            <c:strRef>
              <c:f>Longliners!$H$164</c:f>
              <c:strCache>
                <c:ptCount val="1"/>
                <c:pt idx="0">
                  <c:v>Ling</c:v>
                </c:pt>
              </c:strCache>
            </c:strRef>
          </c:tx>
          <c:spPr>
            <a:solidFill>
              <a:srgbClr val="648C2E"/>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Longliners!$I$164:$K$164</c:f>
              <c:numCache>
                <c:formatCode>0%</c:formatCode>
                <c:ptCount val="3"/>
                <c:pt idx="0">
                  <c:v>0</c:v>
                </c:pt>
                <c:pt idx="1">
                  <c:v>0.25849913063318875</c:v>
                </c:pt>
                <c:pt idx="2">
                  <c:v>0.13807550302028901</c:v>
                </c:pt>
              </c:numCache>
            </c:numRef>
          </c:val>
          <c:extLst>
            <c:ext xmlns:c16="http://schemas.microsoft.com/office/drawing/2014/chart" uri="{C3380CC4-5D6E-409C-BE32-E72D297353CC}">
              <c16:uniqueId val="{00000001-19A0-475B-96BB-8588DA70C234}"/>
            </c:ext>
          </c:extLst>
        </c:ser>
        <c:ser>
          <c:idx val="2"/>
          <c:order val="2"/>
          <c:tx>
            <c:strRef>
              <c:f>Longliners!$H$165</c:f>
              <c:strCache>
                <c:ptCount val="1"/>
                <c:pt idx="0">
                  <c:v>Razor Clam</c:v>
                </c:pt>
              </c:strCache>
            </c:strRef>
          </c:tx>
          <c:spPr>
            <a:solidFill>
              <a:srgbClr val="E87308"/>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Longliners!$I$165:$K$165</c:f>
              <c:numCache>
                <c:formatCode>0%</c:formatCode>
                <c:ptCount val="3"/>
                <c:pt idx="0">
                  <c:v>1</c:v>
                </c:pt>
                <c:pt idx="1">
                  <c:v>7.0146145870615656E-2</c:v>
                </c:pt>
                <c:pt idx="2">
                  <c:v>0</c:v>
                </c:pt>
              </c:numCache>
            </c:numRef>
          </c:val>
          <c:extLst>
            <c:ext xmlns:c16="http://schemas.microsoft.com/office/drawing/2014/chart" uri="{C3380CC4-5D6E-409C-BE32-E72D297353CC}">
              <c16:uniqueId val="{00000002-19A0-475B-96BB-8588DA70C234}"/>
            </c:ext>
          </c:extLst>
        </c:ser>
        <c:ser>
          <c:idx val="3"/>
          <c:order val="3"/>
          <c:tx>
            <c:strRef>
              <c:f>Longliners!$H$166</c:f>
              <c:strCache>
                <c:ptCount val="1"/>
                <c:pt idx="0">
                  <c:v>Blue Ling</c:v>
                </c:pt>
              </c:strCache>
            </c:strRef>
          </c:tx>
          <c:spPr>
            <a:solidFill>
              <a:srgbClr val="E84A38"/>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Longliners!$I$166:$K$166</c:f>
              <c:numCache>
                <c:formatCode>0%</c:formatCode>
                <c:ptCount val="3"/>
                <c:pt idx="0">
                  <c:v>0</c:v>
                </c:pt>
                <c:pt idx="1">
                  <c:v>2.5563186520415011E-2</c:v>
                </c:pt>
                <c:pt idx="2">
                  <c:v>0</c:v>
                </c:pt>
              </c:numCache>
            </c:numRef>
          </c:val>
          <c:extLst>
            <c:ext xmlns:c16="http://schemas.microsoft.com/office/drawing/2014/chart" uri="{C3380CC4-5D6E-409C-BE32-E72D297353CC}">
              <c16:uniqueId val="{00000003-19A0-475B-96BB-8588DA70C234}"/>
            </c:ext>
          </c:extLst>
        </c:ser>
        <c:ser>
          <c:idx val="4"/>
          <c:order val="4"/>
          <c:tx>
            <c:strRef>
              <c:f>Longliners!$H$167</c:f>
              <c:strCache>
                <c:ptCount val="1"/>
                <c:pt idx="0">
                  <c:v>Scallops</c:v>
                </c:pt>
              </c:strCache>
            </c:strRef>
          </c:tx>
          <c:spPr>
            <a:solidFill>
              <a:srgbClr val="C1D119"/>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Longliners!$I$167:$K$167</c:f>
              <c:numCache>
                <c:formatCode>0%</c:formatCode>
                <c:ptCount val="3"/>
                <c:pt idx="0">
                  <c:v>0</c:v>
                </c:pt>
                <c:pt idx="1">
                  <c:v>2.5351029148672214E-2</c:v>
                </c:pt>
                <c:pt idx="2">
                  <c:v>0.37724131193824467</c:v>
                </c:pt>
              </c:numCache>
            </c:numRef>
          </c:val>
          <c:extLst>
            <c:ext xmlns:c16="http://schemas.microsoft.com/office/drawing/2014/chart" uri="{C3380CC4-5D6E-409C-BE32-E72D297353CC}">
              <c16:uniqueId val="{00000004-19A0-475B-96BB-8588DA70C234}"/>
            </c:ext>
          </c:extLst>
        </c:ser>
        <c:ser>
          <c:idx val="5"/>
          <c:order val="5"/>
          <c:tx>
            <c:strRef>
              <c:f>Longliners!$H$168</c:f>
              <c:strCache>
                <c:ptCount val="1"/>
                <c:pt idx="0">
                  <c:v>Pollack</c:v>
                </c:pt>
              </c:strCache>
            </c:strRef>
          </c:tx>
          <c:spPr>
            <a:solidFill>
              <a:srgbClr val="0F9AA9"/>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Longliners!$I$168:$K$168</c:f>
              <c:numCache>
                <c:formatCode>0%</c:formatCode>
                <c:ptCount val="3"/>
                <c:pt idx="0">
                  <c:v>0</c:v>
                </c:pt>
                <c:pt idx="1">
                  <c:v>0</c:v>
                </c:pt>
                <c:pt idx="2">
                  <c:v>3.3196094213479473E-2</c:v>
                </c:pt>
              </c:numCache>
            </c:numRef>
          </c:val>
          <c:extLst>
            <c:ext xmlns:c16="http://schemas.microsoft.com/office/drawing/2014/chart" uri="{C3380CC4-5D6E-409C-BE32-E72D297353CC}">
              <c16:uniqueId val="{00000005-19A0-475B-96BB-8588DA70C234}"/>
            </c:ext>
          </c:extLst>
        </c:ser>
        <c:ser>
          <c:idx val="6"/>
          <c:order val="6"/>
          <c:tx>
            <c:strRef>
              <c:f>Longliners!$H$169</c:f>
              <c:strCache>
                <c:ptCount val="1"/>
                <c:pt idx="0">
                  <c:v>Nephrops</c:v>
                </c:pt>
              </c:strCache>
            </c:strRef>
          </c:tx>
          <c:spPr>
            <a:solidFill>
              <a:srgbClr val="707271"/>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Longliners!$I$169:$K$169</c:f>
              <c:numCache>
                <c:formatCode>0%</c:formatCode>
                <c:ptCount val="3"/>
                <c:pt idx="0">
                  <c:v>0</c:v>
                </c:pt>
                <c:pt idx="1">
                  <c:v>0</c:v>
                </c:pt>
                <c:pt idx="2">
                  <c:v>1.4488434099667921E-3</c:v>
                </c:pt>
              </c:numCache>
            </c:numRef>
          </c:val>
          <c:extLst>
            <c:ext xmlns:c16="http://schemas.microsoft.com/office/drawing/2014/chart" uri="{C3380CC4-5D6E-409C-BE32-E72D297353CC}">
              <c16:uniqueId val="{00000006-19A0-475B-96BB-8588DA70C234}"/>
            </c:ext>
          </c:extLst>
        </c:ser>
        <c:ser>
          <c:idx val="7"/>
          <c:order val="7"/>
          <c:tx>
            <c:strRef>
              <c:f>Longliners!$H$170</c:f>
              <c:strCache>
                <c:ptCount val="1"/>
                <c:pt idx="0">
                  <c:v>Others</c:v>
                </c:pt>
              </c:strCache>
            </c:strRef>
          </c:tx>
          <c:spPr>
            <a:solidFill>
              <a:srgbClr val="55585A"/>
            </a:solidFill>
            <a:ln>
              <a:solidFill>
                <a:srgbClr val="FFFFFF"/>
              </a:solidFill>
            </a:ln>
          </c:spPr>
          <c:invertIfNegative val="0"/>
          <c:cat>
            <c:strRef>
              <c:f>Longliners!$I$162:$K$162</c:f>
              <c:strCache>
                <c:ptCount val="3"/>
                <c:pt idx="0">
                  <c:v>Most
profitable
quartile</c:v>
                </c:pt>
                <c:pt idx="1">
                  <c:v>Middle 
two quartiles</c:v>
                </c:pt>
                <c:pt idx="2">
                  <c:v>Least
profitable
quartile</c:v>
                </c:pt>
              </c:strCache>
            </c:strRef>
          </c:cat>
          <c:val>
            <c:numRef>
              <c:f>Longliners!$I$170:$K$170</c:f>
              <c:numCache>
                <c:formatCode>0%</c:formatCode>
                <c:ptCount val="3"/>
                <c:pt idx="0">
                  <c:v>0</c:v>
                </c:pt>
                <c:pt idx="1">
                  <c:v>3.110354351061384E-2</c:v>
                </c:pt>
                <c:pt idx="2">
                  <c:v>1.2564231078149302E-3</c:v>
                </c:pt>
              </c:numCache>
            </c:numRef>
          </c:val>
          <c:extLst>
            <c:ext xmlns:c16="http://schemas.microsoft.com/office/drawing/2014/chart" uri="{C3380CC4-5D6E-409C-BE32-E72D297353CC}">
              <c16:uniqueId val="{00000007-19A0-475B-96BB-8588DA70C23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Longliners!$K$140</c:f>
              <c:strCache>
                <c:ptCount val="1"/>
                <c:pt idx="0">
                  <c:v>Total income</c:v>
                </c:pt>
              </c:strCache>
            </c:strRef>
          </c:tx>
          <c:spPr>
            <a:solidFill>
              <a:srgbClr val="087CBB"/>
            </a:solidFill>
            <a:ln>
              <a:solidFill>
                <a:schemeClr val="accent1"/>
              </a:solidFill>
            </a:ln>
          </c:spPr>
          <c:invertIfNegative val="0"/>
          <c:cat>
            <c:strRef>
              <c:f>Longliners!$L$139:$N$139</c:f>
              <c:strCache>
                <c:ptCount val="3"/>
                <c:pt idx="0">
                  <c:v>Most
profitable
quartile</c:v>
                </c:pt>
                <c:pt idx="1">
                  <c:v>Middle
two quartiles</c:v>
                </c:pt>
                <c:pt idx="2">
                  <c:v>Least
profitable
quartile</c:v>
                </c:pt>
              </c:strCache>
            </c:strRef>
          </c:cat>
          <c:val>
            <c:numRef>
              <c:f>Longliners!$L$140:$N$140</c:f>
              <c:numCache>
                <c:formatCode>#,##0</c:formatCode>
                <c:ptCount val="3"/>
                <c:pt idx="0">
                  <c:v>371.58321875000001</c:v>
                </c:pt>
                <c:pt idx="1">
                  <c:v>508.70992187500002</c:v>
                </c:pt>
                <c:pt idx="2">
                  <c:v>147.71070312500001</c:v>
                </c:pt>
              </c:numCache>
            </c:numRef>
          </c:val>
          <c:extLst>
            <c:ext xmlns:c16="http://schemas.microsoft.com/office/drawing/2014/chart" uri="{C3380CC4-5D6E-409C-BE32-E72D297353CC}">
              <c16:uniqueId val="{00000000-0917-4E9C-8FD9-0302C3871204}"/>
            </c:ext>
          </c:extLst>
        </c:ser>
        <c:ser>
          <c:idx val="1"/>
          <c:order val="1"/>
          <c:tx>
            <c:strRef>
              <c:f>Longliners!$K$141</c:f>
              <c:strCache>
                <c:ptCount val="1"/>
                <c:pt idx="0">
                  <c:v>Operating costs</c:v>
                </c:pt>
              </c:strCache>
            </c:strRef>
          </c:tx>
          <c:spPr>
            <a:solidFill>
              <a:srgbClr val="E87308"/>
            </a:solidFill>
          </c:spPr>
          <c:invertIfNegative val="0"/>
          <c:cat>
            <c:strRef>
              <c:f>Longliners!$L$139:$N$139</c:f>
              <c:strCache>
                <c:ptCount val="3"/>
                <c:pt idx="0">
                  <c:v>Most
profitable
quartile</c:v>
                </c:pt>
                <c:pt idx="1">
                  <c:v>Middle
two quartiles</c:v>
                </c:pt>
                <c:pt idx="2">
                  <c:v>Least
profitable
quartile</c:v>
                </c:pt>
              </c:strCache>
            </c:strRef>
          </c:cat>
          <c:val>
            <c:numRef>
              <c:f>Longliners!$L$141:$N$141</c:f>
              <c:numCache>
                <c:formatCode>#,##0</c:formatCode>
                <c:ptCount val="3"/>
                <c:pt idx="0">
                  <c:v>238.89460937499999</c:v>
                </c:pt>
                <c:pt idx="1">
                  <c:v>423.82417187499999</c:v>
                </c:pt>
                <c:pt idx="2">
                  <c:v>151.48510937500001</c:v>
                </c:pt>
              </c:numCache>
            </c:numRef>
          </c:val>
          <c:extLst>
            <c:ext xmlns:c16="http://schemas.microsoft.com/office/drawing/2014/chart" uri="{C3380CC4-5D6E-409C-BE32-E72D297353CC}">
              <c16:uniqueId val="{00000001-0917-4E9C-8FD9-0302C3871204}"/>
            </c:ext>
          </c:extLst>
        </c:ser>
        <c:ser>
          <c:idx val="2"/>
          <c:order val="2"/>
          <c:tx>
            <c:strRef>
              <c:f>Longliners!$K$142</c:f>
              <c:strCache>
                <c:ptCount val="1"/>
                <c:pt idx="0">
                  <c:v>Operating profit</c:v>
                </c:pt>
              </c:strCache>
            </c:strRef>
          </c:tx>
          <c:spPr>
            <a:solidFill>
              <a:srgbClr val="51AA81"/>
            </a:solidFill>
          </c:spPr>
          <c:invertIfNegative val="0"/>
          <c:cat>
            <c:strRef>
              <c:f>Longliners!$L$139:$N$139</c:f>
              <c:strCache>
                <c:ptCount val="3"/>
                <c:pt idx="0">
                  <c:v>Most
profitable
quartile</c:v>
                </c:pt>
                <c:pt idx="1">
                  <c:v>Middle
two quartiles</c:v>
                </c:pt>
                <c:pt idx="2">
                  <c:v>Least
profitable
quartile</c:v>
                </c:pt>
              </c:strCache>
            </c:strRef>
          </c:cat>
          <c:val>
            <c:numRef>
              <c:f>Longliners!$L$142:$N$142</c:f>
              <c:numCache>
                <c:formatCode>#,##0</c:formatCode>
                <c:ptCount val="3"/>
                <c:pt idx="0">
                  <c:v>132.688609375</c:v>
                </c:pt>
                <c:pt idx="1">
                  <c:v>84.885750000000002</c:v>
                </c:pt>
                <c:pt idx="2">
                  <c:v>-3.7744062500000002</c:v>
                </c:pt>
              </c:numCache>
            </c:numRef>
          </c:val>
          <c:extLst>
            <c:ext xmlns:c16="http://schemas.microsoft.com/office/drawing/2014/chart" uri="{C3380CC4-5D6E-409C-BE32-E72D297353CC}">
              <c16:uniqueId val="{00000002-0917-4E9C-8FD9-0302C3871204}"/>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Longliners!$K$143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10m'!$A$49</c:f>
          <c:strCache>
            <c:ptCount val="1"/>
            <c:pt idx="0">
              <c:v>Landings per kW day at sea (kg)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AB6-45E1-9DE4-CD52611E6D2D}"/>
              </c:ext>
            </c:extLst>
          </c:dPt>
          <c:dPt>
            <c:idx val="10"/>
            <c:bubble3D val="0"/>
            <c:spPr>
              <a:ln w="57150">
                <a:solidFill>
                  <a:srgbClr val="2273B9"/>
                </a:solidFill>
                <a:prstDash val="sysDot"/>
              </a:ln>
            </c:spPr>
            <c:extLst>
              <c:ext xmlns:c16="http://schemas.microsoft.com/office/drawing/2014/chart" uri="{C3380CC4-5D6E-409C-BE32-E72D297353CC}">
                <c16:uniqueId val="{00000003-0AB6-45E1-9DE4-CD52611E6D2D}"/>
              </c:ext>
            </c:extLst>
          </c:dPt>
          <c:cat>
            <c:numRef>
              <c:f>'Low activity over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over 10m'!$D$22:$N$22</c:f>
              <c:numCache>
                <c:formatCode>#,##0.00</c:formatCode>
                <c:ptCount val="11"/>
                <c:pt idx="0">
                  <c:v>1.6683498513075961</c:v>
                </c:pt>
                <c:pt idx="1">
                  <c:v>1.2378215506561512</c:v>
                </c:pt>
                <c:pt idx="2">
                  <c:v>8.7052615844053438</c:v>
                </c:pt>
                <c:pt idx="3">
                  <c:v>1.0227430777529332</c:v>
                </c:pt>
                <c:pt idx="4">
                  <c:v>11.159695707289167</c:v>
                </c:pt>
                <c:pt idx="5">
                  <c:v>1.065316983222641</c:v>
                </c:pt>
                <c:pt idx="6">
                  <c:v>0.9181647865833158</c:v>
                </c:pt>
                <c:pt idx="7">
                  <c:v>0.98618524970952381</c:v>
                </c:pt>
                <c:pt idx="8">
                  <c:v>0.57479006283331124</c:v>
                </c:pt>
                <c:pt idx="9">
                  <c:v>0.78122019503364037</c:v>
                </c:pt>
                <c:pt idx="10">
                  <c:v>0.92301223488983075</c:v>
                </c:pt>
              </c:numCache>
            </c:numRef>
          </c:val>
          <c:smooth val="0"/>
          <c:extLst>
            <c:ext xmlns:c16="http://schemas.microsoft.com/office/drawing/2014/chart" uri="{C3380CC4-5D6E-409C-BE32-E72D297353CC}">
              <c16:uniqueId val="{00000004-0AB6-45E1-9DE4-CD52611E6D2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10m'!$A$50</c:f>
          <c:strCache>
            <c:ptCount val="1"/>
            <c:pt idx="0">
              <c:v>Fishing income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D9B-4856-A813-075867618AE6}"/>
              </c:ext>
            </c:extLst>
          </c:dPt>
          <c:dPt>
            <c:idx val="10"/>
            <c:bubble3D val="0"/>
            <c:spPr>
              <a:ln w="57150">
                <a:solidFill>
                  <a:srgbClr val="648C2E"/>
                </a:solidFill>
                <a:prstDash val="sysDot"/>
              </a:ln>
            </c:spPr>
            <c:extLst>
              <c:ext xmlns:c16="http://schemas.microsoft.com/office/drawing/2014/chart" uri="{C3380CC4-5D6E-409C-BE32-E72D297353CC}">
                <c16:uniqueId val="{00000003-CD9B-4856-A813-075867618AE6}"/>
              </c:ext>
            </c:extLst>
          </c:dPt>
          <c:cat>
            <c:numRef>
              <c:f>'Low activity over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over 10m'!$D$23:$N$23</c:f>
              <c:numCache>
                <c:formatCode>#,##0.00</c:formatCode>
                <c:ptCount val="11"/>
                <c:pt idx="0">
                  <c:v>2.5186785408274401</c:v>
                </c:pt>
                <c:pt idx="1">
                  <c:v>2.6427084953536899</c:v>
                </c:pt>
                <c:pt idx="2">
                  <c:v>1.3674112552437301</c:v>
                </c:pt>
                <c:pt idx="3">
                  <c:v>2.7389306216384699</c:v>
                </c:pt>
                <c:pt idx="4">
                  <c:v>2.12246664671471</c:v>
                </c:pt>
                <c:pt idx="5">
                  <c:v>2.17027841930028</c:v>
                </c:pt>
                <c:pt idx="6">
                  <c:v>2.3658163471150702</c:v>
                </c:pt>
                <c:pt idx="7">
                  <c:v>2.5315673904970502</c:v>
                </c:pt>
                <c:pt idx="8">
                  <c:v>1.42241144876739</c:v>
                </c:pt>
                <c:pt idx="9">
                  <c:v>2.0096586659428302</c:v>
                </c:pt>
                <c:pt idx="10">
                  <c:v>2.4848386473238402</c:v>
                </c:pt>
              </c:numCache>
            </c:numRef>
          </c:val>
          <c:smooth val="0"/>
          <c:extLst>
            <c:ext xmlns:c16="http://schemas.microsoft.com/office/drawing/2014/chart" uri="{C3380CC4-5D6E-409C-BE32-E72D297353CC}">
              <c16:uniqueId val="{00000004-CD9B-4856-A813-075867618AE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10m'!$B$63</c:f>
          <c:strCache>
            <c:ptCount val="1"/>
            <c:pt idx="0">
              <c:v>Total cost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504-4A63-9804-6DBB38CB1788}"/>
              </c:ext>
            </c:extLst>
          </c:dPt>
          <c:dPt>
            <c:idx val="10"/>
            <c:bubble3D val="0"/>
            <c:spPr>
              <a:ln w="57150">
                <a:solidFill>
                  <a:srgbClr val="087CBB"/>
                </a:solidFill>
                <a:prstDash val="sysDot"/>
              </a:ln>
            </c:spPr>
            <c:extLst>
              <c:ext xmlns:c16="http://schemas.microsoft.com/office/drawing/2014/chart" uri="{C3380CC4-5D6E-409C-BE32-E72D297353CC}">
                <c16:uniqueId val="{00000003-A504-4A63-9804-6DBB38CB1788}"/>
              </c:ext>
            </c:extLst>
          </c:dPt>
          <c:cat>
            <c:numRef>
              <c:f>'Low activity over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over 10m'!$D$24:$N$24</c:f>
              <c:numCache>
                <c:formatCode>#,##0.00</c:formatCode>
                <c:ptCount val="11"/>
                <c:pt idx="0">
                  <c:v>3.7514271756848099</c:v>
                </c:pt>
                <c:pt idx="1">
                  <c:v>4.1078139027022997</c:v>
                </c:pt>
                <c:pt idx="2">
                  <c:v>3.1886591942044902</c:v>
                </c:pt>
                <c:pt idx="3">
                  <c:v>4.9621583442235204</c:v>
                </c:pt>
                <c:pt idx="4">
                  <c:v>3.1704567352281501</c:v>
                </c:pt>
                <c:pt idx="5">
                  <c:v>4.7316017389933096</c:v>
                </c:pt>
                <c:pt idx="6">
                  <c:v>4.1703251990379799</c:v>
                </c:pt>
                <c:pt idx="7">
                  <c:v>4.2414543420749498</c:v>
                </c:pt>
                <c:pt idx="8">
                  <c:v>2.9177427187668701</c:v>
                </c:pt>
                <c:pt idx="9">
                  <c:v>3.9264854420839801</c:v>
                </c:pt>
                <c:pt idx="10">
                  <c:v>5.6450258280945764</c:v>
                </c:pt>
              </c:numCache>
            </c:numRef>
          </c:val>
          <c:smooth val="0"/>
          <c:extLst>
            <c:ext xmlns:c16="http://schemas.microsoft.com/office/drawing/2014/chart" uri="{C3380CC4-5D6E-409C-BE32-E72D297353CC}">
              <c16:uniqueId val="{00000004-A504-4A63-9804-6DBB38CB178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10m'!$K$49</c:f>
          <c:strCache>
            <c:ptCount val="1"/>
            <c:pt idx="0">
              <c:v>Operating profit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BDEC-4F3C-A644-58BE457D8DDE}"/>
              </c:ext>
            </c:extLst>
          </c:dPt>
          <c:dPt>
            <c:idx val="10"/>
            <c:bubble3D val="0"/>
            <c:spPr>
              <a:ln w="57150">
                <a:solidFill>
                  <a:schemeClr val="accent3"/>
                </a:solidFill>
                <a:prstDash val="sysDot"/>
              </a:ln>
            </c:spPr>
            <c:extLst>
              <c:ext xmlns:c16="http://schemas.microsoft.com/office/drawing/2014/chart" uri="{C3380CC4-5D6E-409C-BE32-E72D297353CC}">
                <c16:uniqueId val="{00000003-BDEC-4F3C-A644-58BE457D8DDE}"/>
              </c:ext>
            </c:extLst>
          </c:dPt>
          <c:cat>
            <c:numRef>
              <c:f>'Low activity over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over 10m'!$D$25:$N$25</c:f>
              <c:numCache>
                <c:formatCode>#,##0.00</c:formatCode>
                <c:ptCount val="11"/>
                <c:pt idx="0">
                  <c:v>-1.10852251107595</c:v>
                </c:pt>
                <c:pt idx="1">
                  <c:v>-1.4216575690829101</c:v>
                </c:pt>
                <c:pt idx="2">
                  <c:v>-1.786790874946</c:v>
                </c:pt>
                <c:pt idx="3">
                  <c:v>-2.01886125569983</c:v>
                </c:pt>
                <c:pt idx="4">
                  <c:v>-0.94241092930927295</c:v>
                </c:pt>
                <c:pt idx="5">
                  <c:v>-2.4533658351867</c:v>
                </c:pt>
                <c:pt idx="6">
                  <c:v>-1.65163018384116</c:v>
                </c:pt>
                <c:pt idx="7">
                  <c:v>-1.7098869515779</c:v>
                </c:pt>
                <c:pt idx="8">
                  <c:v>0.28946817929184798</c:v>
                </c:pt>
                <c:pt idx="9">
                  <c:v>-1.9168267761411499</c:v>
                </c:pt>
                <c:pt idx="10">
                  <c:v>-3.1601871807707367</c:v>
                </c:pt>
              </c:numCache>
            </c:numRef>
          </c:val>
          <c:smooth val="0"/>
          <c:extLst>
            <c:ext xmlns:c16="http://schemas.microsoft.com/office/drawing/2014/chart" uri="{C3380CC4-5D6E-409C-BE32-E72D297353CC}">
              <c16:uniqueId val="{00000004-BDEC-4F3C-A644-58BE457D8DD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10m'!$A$51</c:f>
          <c:strCache>
            <c:ptCount val="1"/>
            <c:pt idx="0">
              <c:v>Average price per tonne landed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2F52-46FA-82E6-6C2678DAFDC9}"/>
              </c:ext>
            </c:extLst>
          </c:dPt>
          <c:dPt>
            <c:idx val="10"/>
            <c:bubble3D val="0"/>
            <c:spPr>
              <a:ln w="57150">
                <a:solidFill>
                  <a:schemeClr val="accent4"/>
                </a:solidFill>
                <a:prstDash val="sysDot"/>
              </a:ln>
            </c:spPr>
            <c:extLst>
              <c:ext xmlns:c16="http://schemas.microsoft.com/office/drawing/2014/chart" uri="{C3380CC4-5D6E-409C-BE32-E72D297353CC}">
                <c16:uniqueId val="{00000003-2F52-46FA-82E6-6C2678DAFDC9}"/>
              </c:ext>
            </c:extLst>
          </c:dPt>
          <c:cat>
            <c:numRef>
              <c:f>'Low activity over 10m'!$D$2:$M$2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10m'!$D$21:$N$21</c:f>
              <c:numCache>
                <c:formatCode>#,##0</c:formatCode>
                <c:ptCount val="11"/>
                <c:pt idx="0">
                  <c:v>1510</c:v>
                </c:pt>
                <c:pt idx="1">
                  <c:v>2135</c:v>
                </c:pt>
                <c:pt idx="2">
                  <c:v>157</c:v>
                </c:pt>
                <c:pt idx="3">
                  <c:v>2678</c:v>
                </c:pt>
                <c:pt idx="4">
                  <c:v>190</c:v>
                </c:pt>
                <c:pt idx="5">
                  <c:v>2037</c:v>
                </c:pt>
                <c:pt idx="6">
                  <c:v>2577</c:v>
                </c:pt>
                <c:pt idx="7">
                  <c:v>2567</c:v>
                </c:pt>
                <c:pt idx="8">
                  <c:v>2475</c:v>
                </c:pt>
                <c:pt idx="9">
                  <c:v>2572</c:v>
                </c:pt>
                <c:pt idx="10">
                  <c:v>2692</c:v>
                </c:pt>
              </c:numCache>
            </c:numRef>
          </c:val>
          <c:smooth val="0"/>
          <c:extLst>
            <c:ext xmlns:c16="http://schemas.microsoft.com/office/drawing/2014/chart" uri="{C3380CC4-5D6E-409C-BE32-E72D297353CC}">
              <c16:uniqueId val="{00000004-2F52-46FA-82E6-6C2678DAFDC9}"/>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demersal trawl'!$C$93</c:f>
              <c:strCache>
                <c:ptCount val="1"/>
                <c:pt idx="0">
                  <c:v>Haddock</c:v>
                </c:pt>
              </c:strCache>
            </c:strRef>
          </c:tx>
          <c:spPr>
            <a:solidFill>
              <a:srgbClr val="2273B9"/>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trawl'!$D$93:$M$93</c:f>
              <c:numCache>
                <c:formatCode>0%</c:formatCode>
                <c:ptCount val="10"/>
                <c:pt idx="1">
                  <c:v>0.18475703770282353</c:v>
                </c:pt>
                <c:pt idx="2">
                  <c:v>0.18509473775805435</c:v>
                </c:pt>
                <c:pt idx="3">
                  <c:v>0.14095118748752727</c:v>
                </c:pt>
                <c:pt idx="4">
                  <c:v>0.31369138265357754</c:v>
                </c:pt>
                <c:pt idx="5">
                  <c:v>0.53611858184830874</c:v>
                </c:pt>
                <c:pt idx="6">
                  <c:v>0.40628106551979815</c:v>
                </c:pt>
                <c:pt idx="7">
                  <c:v>0.52434994284846514</c:v>
                </c:pt>
                <c:pt idx="8">
                  <c:v>0.43044225298700872</c:v>
                </c:pt>
                <c:pt idx="9">
                  <c:v>0.42350824790722097</c:v>
                </c:pt>
              </c:numCache>
            </c:numRef>
          </c:val>
          <c:extLst>
            <c:ext xmlns:c16="http://schemas.microsoft.com/office/drawing/2014/chart" uri="{C3380CC4-5D6E-409C-BE32-E72D297353CC}">
              <c16:uniqueId val="{00000000-5545-4724-A48E-5F5D4C5AB003}"/>
            </c:ext>
          </c:extLst>
        </c:ser>
        <c:ser>
          <c:idx val="1"/>
          <c:order val="1"/>
          <c:tx>
            <c:strRef>
              <c:f>'Area VIIa demersal trawl'!$C$94</c:f>
              <c:strCache>
                <c:ptCount val="1"/>
                <c:pt idx="0">
                  <c:v>Scallops</c:v>
                </c:pt>
              </c:strCache>
            </c:strRef>
          </c:tx>
          <c:spPr>
            <a:solidFill>
              <a:srgbClr val="E87308"/>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trawl'!$D$94:$M$94</c:f>
              <c:numCache>
                <c:formatCode>0%</c:formatCode>
                <c:ptCount val="10"/>
                <c:pt idx="0">
                  <c:v>0.38733157832894249</c:v>
                </c:pt>
                <c:pt idx="1">
                  <c:v>0.3340953238772762</c:v>
                </c:pt>
                <c:pt idx="2">
                  <c:v>0.33304159522524074</c:v>
                </c:pt>
                <c:pt idx="3">
                  <c:v>0.34426993730503747</c:v>
                </c:pt>
                <c:pt idx="4">
                  <c:v>0.1205802533288778</c:v>
                </c:pt>
                <c:pt idx="5">
                  <c:v>0.1065323825737563</c:v>
                </c:pt>
                <c:pt idx="6">
                  <c:v>6.6300255701473063E-2</c:v>
                </c:pt>
                <c:pt idx="7">
                  <c:v>4.9793348511539805E-2</c:v>
                </c:pt>
                <c:pt idx="8">
                  <c:v>0.1458970705582418</c:v>
                </c:pt>
                <c:pt idx="9">
                  <c:v>7.5859071713846857E-2</c:v>
                </c:pt>
              </c:numCache>
            </c:numRef>
          </c:val>
          <c:extLst>
            <c:ext xmlns:c16="http://schemas.microsoft.com/office/drawing/2014/chart" uri="{C3380CC4-5D6E-409C-BE32-E72D297353CC}">
              <c16:uniqueId val="{00000001-5545-4724-A48E-5F5D4C5AB003}"/>
            </c:ext>
          </c:extLst>
        </c:ser>
        <c:ser>
          <c:idx val="2"/>
          <c:order val="2"/>
          <c:tx>
            <c:strRef>
              <c:f>'Area VIIa demersal trawl'!$C$95</c:f>
              <c:strCache>
                <c:ptCount val="1"/>
                <c:pt idx="0">
                  <c:v>Hake</c:v>
                </c:pt>
              </c:strCache>
            </c:strRef>
          </c:tx>
          <c:spPr>
            <a:solidFill>
              <a:srgbClr val="648C2E"/>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trawl'!$D$95:$M$95</c:f>
              <c:numCache>
                <c:formatCode>0%</c:formatCode>
                <c:ptCount val="10"/>
                <c:pt idx="3">
                  <c:v>4.5677254831268804E-2</c:v>
                </c:pt>
                <c:pt idx="4">
                  <c:v>9.2620643168970174E-2</c:v>
                </c:pt>
                <c:pt idx="5">
                  <c:v>5.2552667179459236E-2</c:v>
                </c:pt>
                <c:pt idx="6">
                  <c:v>7.0965070245495004E-2</c:v>
                </c:pt>
                <c:pt idx="7">
                  <c:v>0.12407899588324485</c:v>
                </c:pt>
                <c:pt idx="8">
                  <c:v>0.13422708547620046</c:v>
                </c:pt>
                <c:pt idx="9">
                  <c:v>0.16179799496300193</c:v>
                </c:pt>
              </c:numCache>
            </c:numRef>
          </c:val>
          <c:extLst>
            <c:ext xmlns:c16="http://schemas.microsoft.com/office/drawing/2014/chart" uri="{C3380CC4-5D6E-409C-BE32-E72D297353CC}">
              <c16:uniqueId val="{00000002-5545-4724-A48E-5F5D4C5AB003}"/>
            </c:ext>
          </c:extLst>
        </c:ser>
        <c:ser>
          <c:idx val="3"/>
          <c:order val="3"/>
          <c:tx>
            <c:strRef>
              <c:f>'Area VIIa demersal trawl'!$C$96</c:f>
              <c:strCache>
                <c:ptCount val="1"/>
                <c:pt idx="0">
                  <c:v>Cod</c:v>
                </c:pt>
              </c:strCache>
            </c:strRef>
          </c:tx>
          <c:spPr>
            <a:solidFill>
              <a:srgbClr val="C1D119"/>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trawl'!$D$96:$M$96</c:f>
              <c:numCache>
                <c:formatCode>0%</c:formatCode>
                <c:ptCount val="10"/>
                <c:pt idx="1">
                  <c:v>1.5140846160567881E-2</c:v>
                </c:pt>
                <c:pt idx="5">
                  <c:v>6.1363132431618832E-2</c:v>
                </c:pt>
                <c:pt idx="6">
                  <c:v>0.11965600146536562</c:v>
                </c:pt>
                <c:pt idx="7">
                  <c:v>0.16597639842159237</c:v>
                </c:pt>
                <c:pt idx="8">
                  <c:v>0.11203977488618937</c:v>
                </c:pt>
                <c:pt idx="9">
                  <c:v>0.12075880116611465</c:v>
                </c:pt>
              </c:numCache>
            </c:numRef>
          </c:val>
          <c:extLst>
            <c:ext xmlns:c16="http://schemas.microsoft.com/office/drawing/2014/chart" uri="{C3380CC4-5D6E-409C-BE32-E72D297353CC}">
              <c16:uniqueId val="{00000003-5545-4724-A48E-5F5D4C5AB003}"/>
            </c:ext>
          </c:extLst>
        </c:ser>
        <c:ser>
          <c:idx val="4"/>
          <c:order val="4"/>
          <c:tx>
            <c:strRef>
              <c:f>'Area VIIa demersal trawl'!$C$97</c:f>
              <c:strCache>
                <c:ptCount val="1"/>
                <c:pt idx="0">
                  <c:v>Nephrops</c:v>
                </c:pt>
              </c:strCache>
            </c:strRef>
          </c:tx>
          <c:spPr>
            <a:solidFill>
              <a:srgbClr val="E84A38"/>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trawl'!$D$97:$M$97</c:f>
              <c:numCache>
                <c:formatCode>0%</c:formatCode>
                <c:ptCount val="10"/>
                <c:pt idx="0">
                  <c:v>0.26683032314520816</c:v>
                </c:pt>
                <c:pt idx="1">
                  <c:v>0.35806069120247969</c:v>
                </c:pt>
                <c:pt idx="2">
                  <c:v>0.29548537650867479</c:v>
                </c:pt>
                <c:pt idx="3">
                  <c:v>0.32703354343123714</c:v>
                </c:pt>
                <c:pt idx="4">
                  <c:v>0.21831519843838579</c:v>
                </c:pt>
                <c:pt idx="5">
                  <c:v>0.10699198893965008</c:v>
                </c:pt>
                <c:pt idx="6">
                  <c:v>0.17620025921470323</c:v>
                </c:pt>
                <c:pt idx="8">
                  <c:v>0.1038239321780841</c:v>
                </c:pt>
                <c:pt idx="9">
                  <c:v>7.47693622899053E-2</c:v>
                </c:pt>
              </c:numCache>
            </c:numRef>
          </c:val>
          <c:extLst>
            <c:ext xmlns:c16="http://schemas.microsoft.com/office/drawing/2014/chart" uri="{C3380CC4-5D6E-409C-BE32-E72D297353CC}">
              <c16:uniqueId val="{00000004-5545-4724-A48E-5F5D4C5AB003}"/>
            </c:ext>
          </c:extLst>
        </c:ser>
        <c:ser>
          <c:idx val="5"/>
          <c:order val="5"/>
          <c:tx>
            <c:strRef>
              <c:f>'Area VIIa demersal trawl'!$C$98</c:f>
              <c:strCache>
                <c:ptCount val="1"/>
                <c:pt idx="0">
                  <c:v>Pollack</c:v>
                </c:pt>
              </c:strCache>
            </c:strRef>
          </c:tx>
          <c:spPr>
            <a:solidFill>
              <a:srgbClr val="0F9AA9"/>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trawl'!$D$98:$M$98</c:f>
              <c:numCache>
                <c:formatCode>0%</c:formatCode>
                <c:ptCount val="10"/>
                <c:pt idx="7">
                  <c:v>3.5330231092108026E-2</c:v>
                </c:pt>
              </c:numCache>
            </c:numRef>
          </c:val>
          <c:extLst>
            <c:ext xmlns:c16="http://schemas.microsoft.com/office/drawing/2014/chart" uri="{C3380CC4-5D6E-409C-BE32-E72D297353CC}">
              <c16:uniqueId val="{00000005-5545-4724-A48E-5F5D4C5AB003}"/>
            </c:ext>
          </c:extLst>
        </c:ser>
        <c:ser>
          <c:idx val="6"/>
          <c:order val="6"/>
          <c:tx>
            <c:strRef>
              <c:f>'Area VIIa demersal trawl'!$C$99</c:f>
              <c:strCache>
                <c:ptCount val="1"/>
                <c:pt idx="0">
                  <c:v>Cuttlefish</c:v>
                </c:pt>
              </c:strCache>
            </c:strRef>
          </c:tx>
          <c:spPr>
            <a:solidFill>
              <a:srgbClr val="FED825"/>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trawl'!$D$99:$M$99</c:f>
              <c:numCache>
                <c:formatCode>0%</c:formatCode>
                <c:ptCount val="10"/>
                <c:pt idx="4">
                  <c:v>8.9816671902989781E-2</c:v>
                </c:pt>
              </c:numCache>
            </c:numRef>
          </c:val>
          <c:extLst>
            <c:ext xmlns:c16="http://schemas.microsoft.com/office/drawing/2014/chart" uri="{C3380CC4-5D6E-409C-BE32-E72D297353CC}">
              <c16:uniqueId val="{00000006-5545-4724-A48E-5F5D4C5AB003}"/>
            </c:ext>
          </c:extLst>
        </c:ser>
        <c:ser>
          <c:idx val="7"/>
          <c:order val="7"/>
          <c:tx>
            <c:strRef>
              <c:f>'Area VIIa demersal trawl'!$C$100</c:f>
              <c:strCache>
                <c:ptCount val="1"/>
                <c:pt idx="0">
                  <c:v>Brown Crab</c:v>
                </c:pt>
              </c:strCache>
            </c:strRef>
          </c:tx>
          <c:spPr>
            <a:solidFill>
              <a:srgbClr val="707271"/>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trawl'!$D$100:$M$100</c:f>
              <c:numCache>
                <c:formatCode>0%</c:formatCode>
                <c:ptCount val="10"/>
                <c:pt idx="0">
                  <c:v>0.17533836455942456</c:v>
                </c:pt>
                <c:pt idx="1">
                  <c:v>6.188177921772104E-2</c:v>
                </c:pt>
                <c:pt idx="2">
                  <c:v>5.4731063819688765E-2</c:v>
                </c:pt>
                <c:pt idx="3">
                  <c:v>5.6464501401313559E-2</c:v>
                </c:pt>
              </c:numCache>
            </c:numRef>
          </c:val>
          <c:extLst>
            <c:ext xmlns:c16="http://schemas.microsoft.com/office/drawing/2014/chart" uri="{C3380CC4-5D6E-409C-BE32-E72D297353CC}">
              <c16:uniqueId val="{00000007-5545-4724-A48E-5F5D4C5AB003}"/>
            </c:ext>
          </c:extLst>
        </c:ser>
        <c:ser>
          <c:idx val="8"/>
          <c:order val="8"/>
          <c:tx>
            <c:strRef>
              <c:f>'Area VIIa demersal trawl'!$C$101</c:f>
              <c:strCache>
                <c:ptCount val="1"/>
                <c:pt idx="0">
                  <c:v>Queen Scallops</c:v>
                </c:pt>
              </c:strCache>
            </c:strRef>
          </c:tx>
          <c:spPr>
            <a:solidFill>
              <a:srgbClr val="51AA81"/>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trawl'!$D$101:$M$101</c:f>
              <c:numCache>
                <c:formatCode>0%</c:formatCode>
                <c:ptCount val="10"/>
                <c:pt idx="0">
                  <c:v>0.11232418758713179</c:v>
                </c:pt>
                <c:pt idx="2">
                  <c:v>4.8271957979587034E-2</c:v>
                </c:pt>
              </c:numCache>
            </c:numRef>
          </c:val>
          <c:extLst>
            <c:ext xmlns:c16="http://schemas.microsoft.com/office/drawing/2014/chart" uri="{C3380CC4-5D6E-409C-BE32-E72D297353CC}">
              <c16:uniqueId val="{00000008-5545-4724-A48E-5F5D4C5AB003}"/>
            </c:ext>
          </c:extLst>
        </c:ser>
        <c:ser>
          <c:idx val="9"/>
          <c:order val="9"/>
          <c:tx>
            <c:strRef>
              <c:f>'Area VIIa demersal trawl'!$C$102</c:f>
              <c:strCache>
                <c:ptCount val="1"/>
                <c:pt idx="0">
                  <c:v>Thornback Ray</c:v>
                </c:pt>
              </c:strCache>
            </c:strRef>
          </c:tx>
          <c:spPr>
            <a:solidFill>
              <a:srgbClr val="169FDB"/>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trawl'!$D$102:$M$102</c:f>
              <c:numCache>
                <c:formatCode>0%</c:formatCode>
                <c:ptCount val="10"/>
                <c:pt idx="0">
                  <c:v>2.8402393700316105E-2</c:v>
                </c:pt>
              </c:numCache>
            </c:numRef>
          </c:val>
          <c:extLst>
            <c:ext xmlns:c16="http://schemas.microsoft.com/office/drawing/2014/chart" uri="{C3380CC4-5D6E-409C-BE32-E72D297353CC}">
              <c16:uniqueId val="{00000009-5545-4724-A48E-5F5D4C5AB003}"/>
            </c:ext>
          </c:extLst>
        </c:ser>
        <c:ser>
          <c:idx val="10"/>
          <c:order val="10"/>
          <c:tx>
            <c:strRef>
              <c:f>'Area VIIa demersal trawl'!$C$103</c:f>
              <c:strCache>
                <c:ptCount val="1"/>
                <c:pt idx="0">
                  <c:v>Others</c:v>
                </c:pt>
              </c:strCache>
            </c:strRef>
          </c:tx>
          <c:spPr>
            <a:solidFill>
              <a:srgbClr val="55585A"/>
            </a:solidFill>
            <a:ln>
              <a:solidFill>
                <a:srgbClr val="FFFFFF"/>
              </a:solidFill>
            </a:ln>
          </c:spPr>
          <c:invertIfNegative val="0"/>
          <c:cat>
            <c:numRef>
              <c:f>'Area VIIa demersal trawl'!$D$92:$M$92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'Area VIIa demersal trawl'!$D$103:$M$103</c:f>
              <c:numCache>
                <c:formatCode>0%</c:formatCode>
                <c:ptCount val="10"/>
                <c:pt idx="0">
                  <c:v>2.9773152678976875E-2</c:v>
                </c:pt>
                <c:pt idx="1">
                  <c:v>4.6064321839131686E-2</c:v>
                </c:pt>
                <c:pt idx="2">
                  <c:v>8.3375268708754322E-2</c:v>
                </c:pt>
                <c:pt idx="3">
                  <c:v>8.5603575543615751E-2</c:v>
                </c:pt>
                <c:pt idx="4">
                  <c:v>0.16497585050719896</c:v>
                </c:pt>
                <c:pt idx="5">
                  <c:v>0.13644124702720675</c:v>
                </c:pt>
                <c:pt idx="6">
                  <c:v>0.16059734785316496</c:v>
                </c:pt>
                <c:pt idx="7">
                  <c:v>0.10047108324304985</c:v>
                </c:pt>
                <c:pt idx="8">
                  <c:v>7.3569883914275533E-2</c:v>
                </c:pt>
                <c:pt idx="9">
                  <c:v>0.14330652195991028</c:v>
                </c:pt>
              </c:numCache>
            </c:numRef>
          </c:val>
          <c:extLst>
            <c:ext xmlns:c16="http://schemas.microsoft.com/office/drawing/2014/chart" uri="{C3380CC4-5D6E-409C-BE32-E72D297353CC}">
              <c16:uniqueId val="{0000000A-5545-4724-A48E-5F5D4C5AB003}"/>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10m'!$K$63</c:f>
          <c:strCache>
            <c:ptCount val="1"/>
            <c:pt idx="0">
              <c:v>Average annual operating profit per vessel (£'000)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34AA-4B2E-AB73-F212D3E51FD5}"/>
              </c:ext>
            </c:extLst>
          </c:dPt>
          <c:dPt>
            <c:idx val="10"/>
            <c:bubble3D val="0"/>
            <c:spPr>
              <a:ln w="57150">
                <a:solidFill>
                  <a:schemeClr val="accent5"/>
                </a:solidFill>
                <a:prstDash val="sysDot"/>
              </a:ln>
            </c:spPr>
            <c:extLst>
              <c:ext xmlns:c16="http://schemas.microsoft.com/office/drawing/2014/chart" uri="{C3380CC4-5D6E-409C-BE32-E72D297353CC}">
                <c16:uniqueId val="{00000003-34AA-4B2E-AB73-F212D3E51FD5}"/>
              </c:ext>
            </c:extLst>
          </c:dPt>
          <c:cat>
            <c:numRef>
              <c:f>'Low activity over 10m'!$D$2:$M$2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10m'!$D$38:$N$38</c:f>
              <c:numCache>
                <c:formatCode>#,##0.0</c:formatCode>
                <c:ptCount val="11"/>
                <c:pt idx="0">
                  <c:v>-2.4</c:v>
                </c:pt>
                <c:pt idx="1">
                  <c:v>-3.6</c:v>
                </c:pt>
                <c:pt idx="2">
                  <c:v>-7.6</c:v>
                </c:pt>
                <c:pt idx="3">
                  <c:v>-4.5</c:v>
                </c:pt>
                <c:pt idx="4">
                  <c:v>-2.4</c:v>
                </c:pt>
                <c:pt idx="5">
                  <c:v>-5.7</c:v>
                </c:pt>
                <c:pt idx="6">
                  <c:v>-3.6</c:v>
                </c:pt>
                <c:pt idx="7">
                  <c:v>-3</c:v>
                </c:pt>
                <c:pt idx="8">
                  <c:v>0.9</c:v>
                </c:pt>
                <c:pt idx="9">
                  <c:v>-3.9</c:v>
                </c:pt>
                <c:pt idx="10">
                  <c:v>-4</c:v>
                </c:pt>
              </c:numCache>
            </c:numRef>
          </c:val>
          <c:smooth val="0"/>
          <c:extLst>
            <c:ext xmlns:c16="http://schemas.microsoft.com/office/drawing/2014/chart" uri="{C3380CC4-5D6E-409C-BE32-E72D297353CC}">
              <c16:uniqueId val="{00000004-34AA-4B2E-AB73-F212D3E51FD5}"/>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10m'!$A$77</c:f>
          <c:strCache>
            <c:ptCount val="1"/>
            <c:pt idx="0">
              <c:v>Top 5 landed species by volume in 2021
Low activity over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499-4383-A8DE-48F37F3D2C73}"/>
              </c:ext>
            </c:extLst>
          </c:dPt>
          <c:dPt>
            <c:idx val="1"/>
            <c:bubble3D val="0"/>
            <c:spPr>
              <a:solidFill>
                <a:srgbClr val="E87308"/>
              </a:solidFill>
              <a:ln>
                <a:solidFill>
                  <a:srgbClr val="FFFFFF"/>
                </a:solidFill>
              </a:ln>
            </c:spPr>
            <c:extLst>
              <c:ext xmlns:c16="http://schemas.microsoft.com/office/drawing/2014/chart" uri="{C3380CC4-5D6E-409C-BE32-E72D297353CC}">
                <c16:uniqueId val="{00000003-0499-4383-A8DE-48F37F3D2C73}"/>
              </c:ext>
            </c:extLst>
          </c:dPt>
          <c:dPt>
            <c:idx val="2"/>
            <c:bubble3D val="0"/>
            <c:spPr>
              <a:solidFill>
                <a:srgbClr val="0F9AA9"/>
              </a:solidFill>
              <a:ln>
                <a:solidFill>
                  <a:srgbClr val="FFFFFF"/>
                </a:solidFill>
              </a:ln>
            </c:spPr>
            <c:extLst>
              <c:ext xmlns:c16="http://schemas.microsoft.com/office/drawing/2014/chart" uri="{C3380CC4-5D6E-409C-BE32-E72D297353CC}">
                <c16:uniqueId val="{00000005-0499-4383-A8DE-48F37F3D2C73}"/>
              </c:ext>
            </c:extLst>
          </c:dPt>
          <c:dPt>
            <c:idx val="3"/>
            <c:bubble3D val="0"/>
            <c:spPr>
              <a:solidFill>
                <a:srgbClr val="C1D119"/>
              </a:solidFill>
              <a:ln>
                <a:solidFill>
                  <a:srgbClr val="FFFFFF"/>
                </a:solidFill>
              </a:ln>
            </c:spPr>
            <c:extLst>
              <c:ext xmlns:c16="http://schemas.microsoft.com/office/drawing/2014/chart" uri="{C3380CC4-5D6E-409C-BE32-E72D297353CC}">
                <c16:uniqueId val="{00000007-0499-4383-A8DE-48F37F3D2C73}"/>
              </c:ext>
            </c:extLst>
          </c:dPt>
          <c:dPt>
            <c:idx val="4"/>
            <c:bubble3D val="0"/>
            <c:spPr>
              <a:solidFill>
                <a:srgbClr val="FED825"/>
              </a:solidFill>
              <a:ln>
                <a:solidFill>
                  <a:srgbClr val="FFFFFF"/>
                </a:solidFill>
              </a:ln>
            </c:spPr>
            <c:extLst>
              <c:ext xmlns:c16="http://schemas.microsoft.com/office/drawing/2014/chart" uri="{C3380CC4-5D6E-409C-BE32-E72D297353CC}">
                <c16:uniqueId val="{00000009-0499-4383-A8DE-48F37F3D2C73}"/>
              </c:ext>
            </c:extLst>
          </c:dPt>
          <c:dPt>
            <c:idx val="5"/>
            <c:bubble3D val="0"/>
            <c:spPr>
              <a:solidFill>
                <a:srgbClr val="55585A"/>
              </a:solidFill>
              <a:ln>
                <a:solidFill>
                  <a:srgbClr val="FFFFFF"/>
                </a:solidFill>
              </a:ln>
            </c:spPr>
            <c:extLst>
              <c:ext xmlns:c16="http://schemas.microsoft.com/office/drawing/2014/chart" uri="{C3380CC4-5D6E-409C-BE32-E72D297353CC}">
                <c16:uniqueId val="{0000000B-0499-4383-A8DE-48F37F3D2C73}"/>
              </c:ext>
            </c:extLst>
          </c:dPt>
          <c:cat>
            <c:strRef>
              <c:f>'Low activity over 10m'!$B$78:$B$83</c:f>
              <c:strCache>
                <c:ptCount val="6"/>
                <c:pt idx="0">
                  <c:v>Nephrops - 27.7%</c:v>
                </c:pt>
                <c:pt idx="1">
                  <c:v>Scallops - 22.5%</c:v>
                </c:pt>
                <c:pt idx="2">
                  <c:v>Thornback Ray - 10.1%</c:v>
                </c:pt>
                <c:pt idx="3">
                  <c:v>Brown Shrimps - 7.6%</c:v>
                </c:pt>
                <c:pt idx="4">
                  <c:v>Whelks - 5.6%</c:v>
                </c:pt>
                <c:pt idx="5">
                  <c:v>Others - 26.5%</c:v>
                </c:pt>
              </c:strCache>
            </c:strRef>
          </c:cat>
          <c:val>
            <c:numRef>
              <c:f>'Low activity over 10m'!$C$78:$C$83</c:f>
              <c:numCache>
                <c:formatCode>0.0%</c:formatCode>
                <c:ptCount val="6"/>
                <c:pt idx="0">
                  <c:v>0.27722538497041166</c:v>
                </c:pt>
                <c:pt idx="1">
                  <c:v>0.22506799140726702</c:v>
                </c:pt>
                <c:pt idx="2">
                  <c:v>0.10066972762290015</c:v>
                </c:pt>
                <c:pt idx="3">
                  <c:v>7.5688888721866007E-2</c:v>
                </c:pt>
                <c:pt idx="4">
                  <c:v>5.5852489602082271E-2</c:v>
                </c:pt>
                <c:pt idx="5">
                  <c:v>0.26549551767547297</c:v>
                </c:pt>
              </c:numCache>
            </c:numRef>
          </c:val>
          <c:extLst>
            <c:ext xmlns:c16="http://schemas.microsoft.com/office/drawing/2014/chart" uri="{C3380CC4-5D6E-409C-BE32-E72D297353CC}">
              <c16:uniqueId val="{0000000C-0499-4383-A8DE-48F37F3D2C7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10m'!$F$77</c:f>
          <c:strCache>
            <c:ptCount val="1"/>
            <c:pt idx="0">
              <c:v>Top 5 landed species by value in 2021
Low activity over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C8B-4C7C-AD07-DE42C0657D2D}"/>
              </c:ext>
            </c:extLst>
          </c:dPt>
          <c:dPt>
            <c:idx val="1"/>
            <c:bubble3D val="0"/>
            <c:spPr>
              <a:solidFill>
                <a:srgbClr val="E87308"/>
              </a:solidFill>
              <a:ln>
                <a:solidFill>
                  <a:srgbClr val="FFFFFF"/>
                </a:solidFill>
              </a:ln>
            </c:spPr>
            <c:extLst>
              <c:ext xmlns:c16="http://schemas.microsoft.com/office/drawing/2014/chart" uri="{C3380CC4-5D6E-409C-BE32-E72D297353CC}">
                <c16:uniqueId val="{00000003-1C8B-4C7C-AD07-DE42C0657D2D}"/>
              </c:ext>
            </c:extLst>
          </c:dPt>
          <c:dPt>
            <c:idx val="2"/>
            <c:bubble3D val="0"/>
            <c:spPr>
              <a:solidFill>
                <a:srgbClr val="648C2E"/>
              </a:solidFill>
              <a:ln>
                <a:solidFill>
                  <a:srgbClr val="FFFFFF"/>
                </a:solidFill>
              </a:ln>
            </c:spPr>
            <c:extLst>
              <c:ext xmlns:c16="http://schemas.microsoft.com/office/drawing/2014/chart" uri="{C3380CC4-5D6E-409C-BE32-E72D297353CC}">
                <c16:uniqueId val="{00000005-1C8B-4C7C-AD07-DE42C0657D2D}"/>
              </c:ext>
            </c:extLst>
          </c:dPt>
          <c:dPt>
            <c:idx val="3"/>
            <c:bubble3D val="0"/>
            <c:spPr>
              <a:solidFill>
                <a:srgbClr val="C1D119"/>
              </a:solidFill>
              <a:ln>
                <a:solidFill>
                  <a:srgbClr val="FFFFFF"/>
                </a:solidFill>
              </a:ln>
            </c:spPr>
            <c:extLst>
              <c:ext xmlns:c16="http://schemas.microsoft.com/office/drawing/2014/chart" uri="{C3380CC4-5D6E-409C-BE32-E72D297353CC}">
                <c16:uniqueId val="{00000007-1C8B-4C7C-AD07-DE42C0657D2D}"/>
              </c:ext>
            </c:extLst>
          </c:dPt>
          <c:dPt>
            <c:idx val="4"/>
            <c:bubble3D val="0"/>
            <c:spPr>
              <a:solidFill>
                <a:srgbClr val="E84A38"/>
              </a:solidFill>
              <a:ln>
                <a:solidFill>
                  <a:srgbClr val="FFFFFF"/>
                </a:solidFill>
              </a:ln>
            </c:spPr>
            <c:extLst>
              <c:ext xmlns:c16="http://schemas.microsoft.com/office/drawing/2014/chart" uri="{C3380CC4-5D6E-409C-BE32-E72D297353CC}">
                <c16:uniqueId val="{00000009-1C8B-4C7C-AD07-DE42C0657D2D}"/>
              </c:ext>
            </c:extLst>
          </c:dPt>
          <c:dPt>
            <c:idx val="5"/>
            <c:bubble3D val="0"/>
            <c:spPr>
              <a:solidFill>
                <a:srgbClr val="55585A"/>
              </a:solidFill>
              <a:ln>
                <a:solidFill>
                  <a:srgbClr val="FFFFFF"/>
                </a:solidFill>
              </a:ln>
            </c:spPr>
            <c:extLst>
              <c:ext xmlns:c16="http://schemas.microsoft.com/office/drawing/2014/chart" uri="{C3380CC4-5D6E-409C-BE32-E72D297353CC}">
                <c16:uniqueId val="{0000000B-1C8B-4C7C-AD07-DE42C0657D2D}"/>
              </c:ext>
            </c:extLst>
          </c:dPt>
          <c:cat>
            <c:strRef>
              <c:f>'Low activity over 10m'!$G$78:$G$83</c:f>
              <c:strCache>
                <c:ptCount val="6"/>
                <c:pt idx="0">
                  <c:v>Nephrops - 28.1%</c:v>
                </c:pt>
                <c:pt idx="1">
                  <c:v>Scallops - 16.8%</c:v>
                </c:pt>
                <c:pt idx="2">
                  <c:v>Lobsters - 10.9%</c:v>
                </c:pt>
                <c:pt idx="3">
                  <c:v>Brown Shrimps - 9.2%</c:v>
                </c:pt>
                <c:pt idx="4">
                  <c:v>Sole - 7.9%</c:v>
                </c:pt>
                <c:pt idx="5">
                  <c:v>Others - 27.1%</c:v>
                </c:pt>
              </c:strCache>
            </c:strRef>
          </c:cat>
          <c:val>
            <c:numRef>
              <c:f>'Low activity over 10m'!$H$78:$H$83</c:f>
              <c:numCache>
                <c:formatCode>0.0%</c:formatCode>
                <c:ptCount val="6"/>
                <c:pt idx="0">
                  <c:v>0.28095745901994906</c:v>
                </c:pt>
                <c:pt idx="1">
                  <c:v>0.16827195114165622</c:v>
                </c:pt>
                <c:pt idx="2">
                  <c:v>0.10914643914081806</c:v>
                </c:pt>
                <c:pt idx="3">
                  <c:v>9.1514724190739985E-2</c:v>
                </c:pt>
                <c:pt idx="4">
                  <c:v>7.8786971680309181E-2</c:v>
                </c:pt>
                <c:pt idx="5">
                  <c:v>0.27132245482652739</c:v>
                </c:pt>
              </c:numCache>
            </c:numRef>
          </c:val>
          <c:extLst>
            <c:ext xmlns:c16="http://schemas.microsoft.com/office/drawing/2014/chart" uri="{C3380CC4-5D6E-409C-BE32-E72D297353CC}">
              <c16:uniqueId val="{0000000C-1C8B-4C7C-AD07-DE42C0657D2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10m'!$K$78</c:f>
          <c:strCache>
            <c:ptCount val="1"/>
            <c:pt idx="0">
              <c:v>Top 5 landed species by value 2013-2022</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over 10m'!$C$93</c:f>
              <c:strCache>
                <c:ptCount val="1"/>
                <c:pt idx="0">
                  <c:v>Nephrops</c:v>
                </c:pt>
              </c:strCache>
            </c:strRef>
          </c:tx>
          <c:spPr>
            <a:solidFill>
              <a:srgbClr val="2273B9"/>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10m'!$D$93:$M$93</c:f>
              <c:numCache>
                <c:formatCode>0%</c:formatCode>
                <c:ptCount val="10"/>
                <c:pt idx="0">
                  <c:v>0.18243408290724794</c:v>
                </c:pt>
                <c:pt idx="1">
                  <c:v>0.18791105648816606</c:v>
                </c:pt>
                <c:pt idx="2">
                  <c:v>0.1479101253587721</c:v>
                </c:pt>
                <c:pt idx="3">
                  <c:v>0.1726981446089699</c:v>
                </c:pt>
                <c:pt idx="4">
                  <c:v>0.2942545415167292</c:v>
                </c:pt>
                <c:pt idx="5">
                  <c:v>0.14578068724894411</c:v>
                </c:pt>
                <c:pt idx="6">
                  <c:v>0.14047492590846739</c:v>
                </c:pt>
                <c:pt idx="7">
                  <c:v>0.24966633038046004</c:v>
                </c:pt>
                <c:pt idx="8">
                  <c:v>0.28095745901994906</c:v>
                </c:pt>
                <c:pt idx="9">
                  <c:v>0.24319532627321747</c:v>
                </c:pt>
              </c:numCache>
            </c:numRef>
          </c:val>
          <c:extLst>
            <c:ext xmlns:c16="http://schemas.microsoft.com/office/drawing/2014/chart" uri="{C3380CC4-5D6E-409C-BE32-E72D297353CC}">
              <c16:uniqueId val="{00000000-8BD1-4124-9C29-50F92473F773}"/>
            </c:ext>
          </c:extLst>
        </c:ser>
        <c:ser>
          <c:idx val="1"/>
          <c:order val="1"/>
          <c:tx>
            <c:strRef>
              <c:f>'Low activity over 10m'!$C$94</c:f>
              <c:strCache>
                <c:ptCount val="1"/>
                <c:pt idx="0">
                  <c:v>Scallops</c:v>
                </c:pt>
              </c:strCache>
            </c:strRef>
          </c:tx>
          <c:spPr>
            <a:solidFill>
              <a:srgbClr val="E87308"/>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10m'!$D$94:$M$94</c:f>
              <c:numCache>
                <c:formatCode>0%</c:formatCode>
                <c:ptCount val="10"/>
                <c:pt idx="0">
                  <c:v>0.11018051864684249</c:v>
                </c:pt>
                <c:pt idx="1">
                  <c:v>0.11077788842554562</c:v>
                </c:pt>
                <c:pt idx="2">
                  <c:v>0.25377021699513247</c:v>
                </c:pt>
                <c:pt idx="3">
                  <c:v>4.4323655479391759E-2</c:v>
                </c:pt>
                <c:pt idx="6">
                  <c:v>9.0398081938629207E-2</c:v>
                </c:pt>
                <c:pt idx="7">
                  <c:v>0.22962654706015853</c:v>
                </c:pt>
                <c:pt idx="8">
                  <c:v>0.16827195114165622</c:v>
                </c:pt>
                <c:pt idx="9">
                  <c:v>0.10229325621164063</c:v>
                </c:pt>
              </c:numCache>
            </c:numRef>
          </c:val>
          <c:extLst>
            <c:ext xmlns:c16="http://schemas.microsoft.com/office/drawing/2014/chart" uri="{C3380CC4-5D6E-409C-BE32-E72D297353CC}">
              <c16:uniqueId val="{00000001-8BD1-4124-9C29-50F92473F773}"/>
            </c:ext>
          </c:extLst>
        </c:ser>
        <c:ser>
          <c:idx val="2"/>
          <c:order val="2"/>
          <c:tx>
            <c:strRef>
              <c:f>'Low activity over 10m'!$C$95</c:f>
              <c:strCache>
                <c:ptCount val="1"/>
                <c:pt idx="0">
                  <c:v>Lobsters</c:v>
                </c:pt>
              </c:strCache>
            </c:strRef>
          </c:tx>
          <c:spPr>
            <a:solidFill>
              <a:srgbClr val="648C2E"/>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10m'!$D$95:$M$95</c:f>
              <c:numCache>
                <c:formatCode>0%</c:formatCode>
                <c:ptCount val="10"/>
                <c:pt idx="0">
                  <c:v>0.13093354749730893</c:v>
                </c:pt>
                <c:pt idx="1">
                  <c:v>0.11935368911297346</c:v>
                </c:pt>
                <c:pt idx="2">
                  <c:v>0.17189958457712481</c:v>
                </c:pt>
                <c:pt idx="3">
                  <c:v>0.18529451122812782</c:v>
                </c:pt>
                <c:pt idx="4">
                  <c:v>0.17679904812794184</c:v>
                </c:pt>
                <c:pt idx="5">
                  <c:v>0.14687566986411357</c:v>
                </c:pt>
                <c:pt idx="6">
                  <c:v>0.13849508761313536</c:v>
                </c:pt>
                <c:pt idx="7">
                  <c:v>0.12299410304027461</c:v>
                </c:pt>
                <c:pt idx="8">
                  <c:v>0.10914643914081806</c:v>
                </c:pt>
                <c:pt idx="9">
                  <c:v>0.10940780362404491</c:v>
                </c:pt>
              </c:numCache>
            </c:numRef>
          </c:val>
          <c:extLst>
            <c:ext xmlns:c16="http://schemas.microsoft.com/office/drawing/2014/chart" uri="{C3380CC4-5D6E-409C-BE32-E72D297353CC}">
              <c16:uniqueId val="{00000002-8BD1-4124-9C29-50F92473F773}"/>
            </c:ext>
          </c:extLst>
        </c:ser>
        <c:ser>
          <c:idx val="3"/>
          <c:order val="3"/>
          <c:tx>
            <c:strRef>
              <c:f>'Low activity over 10m'!$C$96</c:f>
              <c:strCache>
                <c:ptCount val="1"/>
                <c:pt idx="0">
                  <c:v>Brown Shrimps</c:v>
                </c:pt>
              </c:strCache>
            </c:strRef>
          </c:tx>
          <c:spPr>
            <a:solidFill>
              <a:srgbClr val="C1D119"/>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10m'!$D$96:$M$96</c:f>
              <c:numCache>
                <c:formatCode>0%</c:formatCode>
                <c:ptCount val="10"/>
                <c:pt idx="0">
                  <c:v>6.5130747948062437E-2</c:v>
                </c:pt>
                <c:pt idx="3">
                  <c:v>0.18443587113741675</c:v>
                </c:pt>
                <c:pt idx="4">
                  <c:v>7.0964130497267602E-2</c:v>
                </c:pt>
                <c:pt idx="5">
                  <c:v>6.0882421323311765E-2</c:v>
                </c:pt>
                <c:pt idx="6">
                  <c:v>0.29065590375359041</c:v>
                </c:pt>
                <c:pt idx="7">
                  <c:v>6.4932969610689811E-2</c:v>
                </c:pt>
                <c:pt idx="8">
                  <c:v>9.1514724190739985E-2</c:v>
                </c:pt>
                <c:pt idx="9">
                  <c:v>0.19309274140177027</c:v>
                </c:pt>
              </c:numCache>
            </c:numRef>
          </c:val>
          <c:extLst>
            <c:ext xmlns:c16="http://schemas.microsoft.com/office/drawing/2014/chart" uri="{C3380CC4-5D6E-409C-BE32-E72D297353CC}">
              <c16:uniqueId val="{00000003-8BD1-4124-9C29-50F92473F773}"/>
            </c:ext>
          </c:extLst>
        </c:ser>
        <c:ser>
          <c:idx val="4"/>
          <c:order val="4"/>
          <c:tx>
            <c:strRef>
              <c:f>'Low activity over 10m'!$C$97</c:f>
              <c:strCache>
                <c:ptCount val="1"/>
                <c:pt idx="0">
                  <c:v>Sole</c:v>
                </c:pt>
              </c:strCache>
            </c:strRef>
          </c:tx>
          <c:spPr>
            <a:solidFill>
              <a:srgbClr val="E84A38"/>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10m'!$D$97:$M$97</c:f>
              <c:numCache>
                <c:formatCode>0%</c:formatCode>
                <c:ptCount val="10"/>
                <c:pt idx="0">
                  <c:v>7.6980014632669541E-2</c:v>
                </c:pt>
                <c:pt idx="1">
                  <c:v>6.9236043148250881E-2</c:v>
                </c:pt>
                <c:pt idx="2">
                  <c:v>5.2181443588873562E-2</c:v>
                </c:pt>
                <c:pt idx="3">
                  <c:v>8.1172967577082783E-2</c:v>
                </c:pt>
                <c:pt idx="7">
                  <c:v>8.8358756580290576E-2</c:v>
                </c:pt>
                <c:pt idx="8">
                  <c:v>7.8786971680309181E-2</c:v>
                </c:pt>
              </c:numCache>
            </c:numRef>
          </c:val>
          <c:extLst>
            <c:ext xmlns:c16="http://schemas.microsoft.com/office/drawing/2014/chart" uri="{C3380CC4-5D6E-409C-BE32-E72D297353CC}">
              <c16:uniqueId val="{00000004-8BD1-4124-9C29-50F92473F773}"/>
            </c:ext>
          </c:extLst>
        </c:ser>
        <c:ser>
          <c:idx val="5"/>
          <c:order val="5"/>
          <c:tx>
            <c:strRef>
              <c:f>'Low activity over 10m'!$C$98</c:f>
              <c:strCache>
                <c:ptCount val="1"/>
                <c:pt idx="0">
                  <c:v>Brown Crab</c:v>
                </c:pt>
              </c:strCache>
            </c:strRef>
          </c:tx>
          <c:spPr>
            <a:solidFill>
              <a:srgbClr val="0F9AA9"/>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10m'!$D$98:$M$98</c:f>
              <c:numCache>
                <c:formatCode>0%</c:formatCode>
                <c:ptCount val="10"/>
                <c:pt idx="4">
                  <c:v>5.3371752918666797E-2</c:v>
                </c:pt>
                <c:pt idx="5">
                  <c:v>0.17880253310801256</c:v>
                </c:pt>
                <c:pt idx="6">
                  <c:v>9.4960389369965079E-2</c:v>
                </c:pt>
                <c:pt idx="9">
                  <c:v>8.1367887617688581E-2</c:v>
                </c:pt>
              </c:numCache>
            </c:numRef>
          </c:val>
          <c:extLst>
            <c:ext xmlns:c16="http://schemas.microsoft.com/office/drawing/2014/chart" uri="{C3380CC4-5D6E-409C-BE32-E72D297353CC}">
              <c16:uniqueId val="{00000005-8BD1-4124-9C29-50F92473F773}"/>
            </c:ext>
          </c:extLst>
        </c:ser>
        <c:ser>
          <c:idx val="6"/>
          <c:order val="6"/>
          <c:tx>
            <c:strRef>
              <c:f>'Low activity over 10m'!$C$99</c:f>
              <c:strCache>
                <c:ptCount val="1"/>
                <c:pt idx="0">
                  <c:v>Cockles</c:v>
                </c:pt>
              </c:strCache>
            </c:strRef>
          </c:tx>
          <c:spPr>
            <a:solidFill>
              <a:srgbClr val="FED825"/>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10m'!$D$99:$M$99</c:f>
              <c:numCache>
                <c:formatCode>0%</c:formatCode>
                <c:ptCount val="10"/>
                <c:pt idx="1">
                  <c:v>9.0349804918228582E-2</c:v>
                </c:pt>
                <c:pt idx="4">
                  <c:v>7.6817324198253878E-2</c:v>
                </c:pt>
                <c:pt idx="5">
                  <c:v>7.0896790603074772E-2</c:v>
                </c:pt>
              </c:numCache>
            </c:numRef>
          </c:val>
          <c:extLst>
            <c:ext xmlns:c16="http://schemas.microsoft.com/office/drawing/2014/chart" uri="{C3380CC4-5D6E-409C-BE32-E72D297353CC}">
              <c16:uniqueId val="{00000006-8BD1-4124-9C29-50F92473F773}"/>
            </c:ext>
          </c:extLst>
        </c:ser>
        <c:ser>
          <c:idx val="7"/>
          <c:order val="7"/>
          <c:tx>
            <c:strRef>
              <c:f>'Low activity over 10m'!$C$100</c:f>
              <c:strCache>
                <c:ptCount val="1"/>
                <c:pt idx="0">
                  <c:v>Whelks</c:v>
                </c:pt>
              </c:strCache>
            </c:strRef>
          </c:tx>
          <c:spPr>
            <a:solidFill>
              <a:srgbClr val="707271"/>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10m'!$D$100:$M$100</c:f>
              <c:numCache>
                <c:formatCode>0%</c:formatCode>
                <c:ptCount val="10"/>
                <c:pt idx="2">
                  <c:v>4.8595179059425599E-2</c:v>
                </c:pt>
              </c:numCache>
            </c:numRef>
          </c:val>
          <c:extLst>
            <c:ext xmlns:c16="http://schemas.microsoft.com/office/drawing/2014/chart" uri="{C3380CC4-5D6E-409C-BE32-E72D297353CC}">
              <c16:uniqueId val="{00000007-8BD1-4124-9C29-50F92473F773}"/>
            </c:ext>
          </c:extLst>
        </c:ser>
        <c:ser>
          <c:idx val="8"/>
          <c:order val="8"/>
          <c:tx>
            <c:strRef>
              <c:f>'Low activity over 10m'!$C$101</c:f>
              <c:strCache>
                <c:ptCount val="1"/>
                <c:pt idx="0">
                  <c:v>Others</c:v>
                </c:pt>
              </c:strCache>
            </c:strRef>
          </c:tx>
          <c:spPr>
            <a:solidFill>
              <a:srgbClr val="55585A"/>
            </a:solidFill>
            <a:ln>
              <a:solidFill>
                <a:srgbClr val="FFFFFF"/>
              </a:solidFill>
            </a:ln>
          </c:spPr>
          <c:invertIfNegative val="0"/>
          <c:cat>
            <c:numRef>
              <c:f>'Low activity over 10m'!$D$92:$M$92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'Low activity over 10m'!$D$101:$M$101</c:f>
              <c:numCache>
                <c:formatCode>0%</c:formatCode>
                <c:ptCount val="10"/>
                <c:pt idx="0">
                  <c:v>0.43434108836786867</c:v>
                </c:pt>
                <c:pt idx="1">
                  <c:v>0.42237151790683541</c:v>
                </c:pt>
                <c:pt idx="2">
                  <c:v>0.32564345042067144</c:v>
                </c:pt>
                <c:pt idx="3">
                  <c:v>0.33207484996901104</c:v>
                </c:pt>
                <c:pt idx="4">
                  <c:v>0.32779320274114065</c:v>
                </c:pt>
                <c:pt idx="5">
                  <c:v>0.39676189785254323</c:v>
                </c:pt>
                <c:pt idx="6">
                  <c:v>0.24501561141621256</c:v>
                </c:pt>
                <c:pt idx="7">
                  <c:v>0.24442129332812645</c:v>
                </c:pt>
                <c:pt idx="8">
                  <c:v>0.2713224548265275</c:v>
                </c:pt>
                <c:pt idx="9">
                  <c:v>0.27064298487163813</c:v>
                </c:pt>
              </c:numCache>
            </c:numRef>
          </c:val>
          <c:extLst>
            <c:ext xmlns:c16="http://schemas.microsoft.com/office/drawing/2014/chart" uri="{C3380CC4-5D6E-409C-BE32-E72D297353CC}">
              <c16:uniqueId val="{00000008-8BD1-4124-9C29-50F92473F773}"/>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10m'!$N$164</c:f>
          <c:strCache>
            <c:ptCount val="1"/>
            <c:pt idx="0">
              <c:v>Top 5 landed species by volume in 2021</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over 10m'!$B$163</c:f>
              <c:strCache>
                <c:ptCount val="1"/>
                <c:pt idx="0">
                  <c:v>Nephrops</c:v>
                </c:pt>
              </c:strCache>
            </c:strRef>
          </c:tx>
          <c:spPr>
            <a:solidFill>
              <a:srgbClr val="2273B9"/>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10m'!$C$163:$E$163</c:f>
              <c:numCache>
                <c:formatCode>0%</c:formatCode>
                <c:ptCount val="3"/>
                <c:pt idx="0">
                  <c:v>0.14904774122642145</c:v>
                </c:pt>
                <c:pt idx="1">
                  <c:v>0.34514284908522724</c:v>
                </c:pt>
                <c:pt idx="2">
                  <c:v>0.37414607600261152</c:v>
                </c:pt>
              </c:numCache>
            </c:numRef>
          </c:val>
          <c:extLst>
            <c:ext xmlns:c16="http://schemas.microsoft.com/office/drawing/2014/chart" uri="{C3380CC4-5D6E-409C-BE32-E72D297353CC}">
              <c16:uniqueId val="{00000000-7295-4BC5-BD93-94CCF16B6441}"/>
            </c:ext>
          </c:extLst>
        </c:ser>
        <c:ser>
          <c:idx val="1"/>
          <c:order val="1"/>
          <c:tx>
            <c:strRef>
              <c:f>'Low activity over 10m'!$B$164</c:f>
              <c:strCache>
                <c:ptCount val="1"/>
                <c:pt idx="0">
                  <c:v>Scallops</c:v>
                </c:pt>
              </c:strCache>
            </c:strRef>
          </c:tx>
          <c:spPr>
            <a:solidFill>
              <a:srgbClr val="E87308"/>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10m'!$C$164:$E$164</c:f>
              <c:numCache>
                <c:formatCode>0%</c:formatCode>
                <c:ptCount val="3"/>
                <c:pt idx="0">
                  <c:v>0.29355415730092715</c:v>
                </c:pt>
                <c:pt idx="1">
                  <c:v>0.22679892287677036</c:v>
                </c:pt>
                <c:pt idx="2">
                  <c:v>0</c:v>
                </c:pt>
              </c:numCache>
            </c:numRef>
          </c:val>
          <c:extLst>
            <c:ext xmlns:c16="http://schemas.microsoft.com/office/drawing/2014/chart" uri="{C3380CC4-5D6E-409C-BE32-E72D297353CC}">
              <c16:uniqueId val="{00000001-7295-4BC5-BD93-94CCF16B6441}"/>
            </c:ext>
          </c:extLst>
        </c:ser>
        <c:ser>
          <c:idx val="2"/>
          <c:order val="2"/>
          <c:tx>
            <c:strRef>
              <c:f>'Low activity over 10m'!$B$165</c:f>
              <c:strCache>
                <c:ptCount val="1"/>
                <c:pt idx="0">
                  <c:v>Thornback Ray</c:v>
                </c:pt>
              </c:strCache>
            </c:strRef>
          </c:tx>
          <c:spPr>
            <a:solidFill>
              <a:srgbClr val="0F9AA9"/>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10m'!$C$165:$E$165</c:f>
              <c:numCache>
                <c:formatCode>0%</c:formatCode>
                <c:ptCount val="3"/>
                <c:pt idx="0">
                  <c:v>0</c:v>
                </c:pt>
                <c:pt idx="1">
                  <c:v>0.16516000935428574</c:v>
                </c:pt>
                <c:pt idx="2">
                  <c:v>0</c:v>
                </c:pt>
              </c:numCache>
            </c:numRef>
          </c:val>
          <c:extLst>
            <c:ext xmlns:c16="http://schemas.microsoft.com/office/drawing/2014/chart" uri="{C3380CC4-5D6E-409C-BE32-E72D297353CC}">
              <c16:uniqueId val="{00000002-7295-4BC5-BD93-94CCF16B6441}"/>
            </c:ext>
          </c:extLst>
        </c:ser>
        <c:ser>
          <c:idx val="3"/>
          <c:order val="3"/>
          <c:tx>
            <c:strRef>
              <c:f>'Low activity over 10m'!$B$166</c:f>
              <c:strCache>
                <c:ptCount val="1"/>
                <c:pt idx="0">
                  <c:v>Plaice</c:v>
                </c:pt>
              </c:strCache>
            </c:strRef>
          </c:tx>
          <c:spPr>
            <a:solidFill>
              <a:srgbClr val="707271"/>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10m'!$C$166:$E$166</c:f>
              <c:numCache>
                <c:formatCode>0%</c:formatCode>
                <c:ptCount val="3"/>
                <c:pt idx="0">
                  <c:v>0</c:v>
                </c:pt>
                <c:pt idx="1">
                  <c:v>7.8939260051831078E-2</c:v>
                </c:pt>
                <c:pt idx="2">
                  <c:v>0</c:v>
                </c:pt>
              </c:numCache>
            </c:numRef>
          </c:val>
          <c:extLst>
            <c:ext xmlns:c16="http://schemas.microsoft.com/office/drawing/2014/chart" uri="{C3380CC4-5D6E-409C-BE32-E72D297353CC}">
              <c16:uniqueId val="{00000003-7295-4BC5-BD93-94CCF16B6441}"/>
            </c:ext>
          </c:extLst>
        </c:ser>
        <c:ser>
          <c:idx val="4"/>
          <c:order val="4"/>
          <c:tx>
            <c:strRef>
              <c:f>'Low activity over 10m'!$B$167</c:f>
              <c:strCache>
                <c:ptCount val="1"/>
                <c:pt idx="0">
                  <c:v>Les. Spot. Dog</c:v>
                </c:pt>
              </c:strCache>
            </c:strRef>
          </c:tx>
          <c:spPr>
            <a:solidFill>
              <a:srgbClr val="51AA81"/>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10m'!$C$167:$E$167</c:f>
              <c:numCache>
                <c:formatCode>0%</c:formatCode>
                <c:ptCount val="3"/>
                <c:pt idx="0">
                  <c:v>0</c:v>
                </c:pt>
                <c:pt idx="1">
                  <c:v>6.1366988580151008E-2</c:v>
                </c:pt>
                <c:pt idx="2">
                  <c:v>0</c:v>
                </c:pt>
              </c:numCache>
            </c:numRef>
          </c:val>
          <c:extLst>
            <c:ext xmlns:c16="http://schemas.microsoft.com/office/drawing/2014/chart" uri="{C3380CC4-5D6E-409C-BE32-E72D297353CC}">
              <c16:uniqueId val="{00000004-7295-4BC5-BD93-94CCF16B6441}"/>
            </c:ext>
          </c:extLst>
        </c:ser>
        <c:ser>
          <c:idx val="5"/>
          <c:order val="5"/>
          <c:tx>
            <c:strRef>
              <c:f>'Low activity over 10m'!$B$168</c:f>
              <c:strCache>
                <c:ptCount val="1"/>
                <c:pt idx="0">
                  <c:v>Brown Crab</c:v>
                </c:pt>
              </c:strCache>
            </c:strRef>
          </c:tx>
          <c:spPr>
            <a:solidFill>
              <a:srgbClr val="E40D2C"/>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10m'!$C$168:$E$168</c:f>
              <c:numCache>
                <c:formatCode>0%</c:formatCode>
                <c:ptCount val="3"/>
                <c:pt idx="0">
                  <c:v>0</c:v>
                </c:pt>
                <c:pt idx="1">
                  <c:v>0</c:v>
                </c:pt>
                <c:pt idx="2">
                  <c:v>0.23966611842802285</c:v>
                </c:pt>
              </c:numCache>
            </c:numRef>
          </c:val>
          <c:extLst>
            <c:ext xmlns:c16="http://schemas.microsoft.com/office/drawing/2014/chart" uri="{C3380CC4-5D6E-409C-BE32-E72D297353CC}">
              <c16:uniqueId val="{00000005-7295-4BC5-BD93-94CCF16B6441}"/>
            </c:ext>
          </c:extLst>
        </c:ser>
        <c:ser>
          <c:idx val="6"/>
          <c:order val="6"/>
          <c:tx>
            <c:strRef>
              <c:f>'Low activity over 10m'!$B$169</c:f>
              <c:strCache>
                <c:ptCount val="1"/>
                <c:pt idx="0">
                  <c:v>Lobsters</c:v>
                </c:pt>
              </c:strCache>
            </c:strRef>
          </c:tx>
          <c:spPr>
            <a:solidFill>
              <a:srgbClr val="648C2E"/>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10m'!$C$169:$E$169</c:f>
              <c:numCache>
                <c:formatCode>0%</c:formatCode>
                <c:ptCount val="3"/>
                <c:pt idx="0">
                  <c:v>0</c:v>
                </c:pt>
                <c:pt idx="1">
                  <c:v>0</c:v>
                </c:pt>
                <c:pt idx="2">
                  <c:v>0.12942632835137774</c:v>
                </c:pt>
              </c:numCache>
            </c:numRef>
          </c:val>
          <c:extLst>
            <c:ext xmlns:c16="http://schemas.microsoft.com/office/drawing/2014/chart" uri="{C3380CC4-5D6E-409C-BE32-E72D297353CC}">
              <c16:uniqueId val="{00000006-7295-4BC5-BD93-94CCF16B6441}"/>
            </c:ext>
          </c:extLst>
        </c:ser>
        <c:ser>
          <c:idx val="7"/>
          <c:order val="7"/>
          <c:tx>
            <c:strRef>
              <c:f>'Low activity over 10m'!$B$170</c:f>
              <c:strCache>
                <c:ptCount val="1"/>
                <c:pt idx="0">
                  <c:v>Turbot</c:v>
                </c:pt>
              </c:strCache>
            </c:strRef>
          </c:tx>
          <c:spPr>
            <a:solidFill>
              <a:srgbClr val="B4C3E5"/>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10m'!$C$170:$E$170</c:f>
              <c:numCache>
                <c:formatCode>0%</c:formatCode>
                <c:ptCount val="3"/>
                <c:pt idx="0">
                  <c:v>0</c:v>
                </c:pt>
                <c:pt idx="1">
                  <c:v>0</c:v>
                </c:pt>
                <c:pt idx="2">
                  <c:v>6.1567685465964486E-2</c:v>
                </c:pt>
              </c:numCache>
            </c:numRef>
          </c:val>
          <c:extLst>
            <c:ext xmlns:c16="http://schemas.microsoft.com/office/drawing/2014/chart" uri="{C3380CC4-5D6E-409C-BE32-E72D297353CC}">
              <c16:uniqueId val="{00000007-7295-4BC5-BD93-94CCF16B6441}"/>
            </c:ext>
          </c:extLst>
        </c:ser>
        <c:ser>
          <c:idx val="8"/>
          <c:order val="8"/>
          <c:tx>
            <c:strRef>
              <c:f>'Low activity over 10m'!$B$171</c:f>
              <c:strCache>
                <c:ptCount val="1"/>
                <c:pt idx="0">
                  <c:v>Haddock</c:v>
                </c:pt>
              </c:strCache>
            </c:strRef>
          </c:tx>
          <c:spPr>
            <a:solidFill>
              <a:srgbClr val="F8CBA1"/>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10m'!$C$171:$E$171</c:f>
              <c:numCache>
                <c:formatCode>0%</c:formatCode>
                <c:ptCount val="3"/>
                <c:pt idx="0">
                  <c:v>0</c:v>
                </c:pt>
                <c:pt idx="1">
                  <c:v>0</c:v>
                </c:pt>
                <c:pt idx="2">
                  <c:v>5.5468424952450482E-2</c:v>
                </c:pt>
              </c:numCache>
            </c:numRef>
          </c:val>
          <c:extLst>
            <c:ext xmlns:c16="http://schemas.microsoft.com/office/drawing/2014/chart" uri="{C3380CC4-5D6E-409C-BE32-E72D297353CC}">
              <c16:uniqueId val="{00000008-7295-4BC5-BD93-94CCF16B6441}"/>
            </c:ext>
          </c:extLst>
        </c:ser>
        <c:ser>
          <c:idx val="9"/>
          <c:order val="9"/>
          <c:tx>
            <c:strRef>
              <c:f>'Low activity over 10m'!$B$172</c:f>
              <c:strCache>
                <c:ptCount val="1"/>
                <c:pt idx="0">
                  <c:v>Whelks</c:v>
                </c:pt>
              </c:strCache>
            </c:strRef>
          </c:tx>
          <c:spPr>
            <a:solidFill>
              <a:srgbClr val="FED825"/>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10m'!$C$172:$E$172</c:f>
              <c:numCache>
                <c:formatCode>0%</c:formatCode>
                <c:ptCount val="3"/>
                <c:pt idx="0">
                  <c:v>0.16086304465575857</c:v>
                </c:pt>
                <c:pt idx="1">
                  <c:v>0</c:v>
                </c:pt>
                <c:pt idx="2">
                  <c:v>0</c:v>
                </c:pt>
              </c:numCache>
            </c:numRef>
          </c:val>
          <c:extLst>
            <c:ext xmlns:c16="http://schemas.microsoft.com/office/drawing/2014/chart" uri="{C3380CC4-5D6E-409C-BE32-E72D297353CC}">
              <c16:uniqueId val="{00000009-7295-4BC5-BD93-94CCF16B6441}"/>
            </c:ext>
          </c:extLst>
        </c:ser>
        <c:ser>
          <c:idx val="10"/>
          <c:order val="10"/>
          <c:tx>
            <c:strRef>
              <c:f>'Low activity over 10m'!$B$173</c:f>
              <c:strCache>
                <c:ptCount val="1"/>
                <c:pt idx="0">
                  <c:v>Brown Shrimps</c:v>
                </c:pt>
              </c:strCache>
            </c:strRef>
          </c:tx>
          <c:spPr>
            <a:solidFill>
              <a:srgbClr val="C1D119"/>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10m'!$C$173:$E$173</c:f>
              <c:numCache>
                <c:formatCode>0%</c:formatCode>
                <c:ptCount val="3"/>
                <c:pt idx="0">
                  <c:v>0.15054185752026777</c:v>
                </c:pt>
                <c:pt idx="1">
                  <c:v>0</c:v>
                </c:pt>
                <c:pt idx="2">
                  <c:v>0</c:v>
                </c:pt>
              </c:numCache>
            </c:numRef>
          </c:val>
          <c:extLst>
            <c:ext xmlns:c16="http://schemas.microsoft.com/office/drawing/2014/chart" uri="{C3380CC4-5D6E-409C-BE32-E72D297353CC}">
              <c16:uniqueId val="{0000000A-7295-4BC5-BD93-94CCF16B6441}"/>
            </c:ext>
          </c:extLst>
        </c:ser>
        <c:ser>
          <c:idx val="11"/>
          <c:order val="11"/>
          <c:tx>
            <c:strRef>
              <c:f>'Low activity over 10m'!$B$174</c:f>
              <c:strCache>
                <c:ptCount val="1"/>
                <c:pt idx="0">
                  <c:v>Sole</c:v>
                </c:pt>
              </c:strCache>
            </c:strRef>
          </c:tx>
          <c:spPr>
            <a:solidFill>
              <a:srgbClr val="E84A38"/>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10m'!$C$174:$E$174</c:f>
              <c:numCache>
                <c:formatCode>0%</c:formatCode>
                <c:ptCount val="3"/>
                <c:pt idx="0">
                  <c:v>4.4793945020101381E-2</c:v>
                </c:pt>
                <c:pt idx="1">
                  <c:v>0</c:v>
                </c:pt>
                <c:pt idx="2">
                  <c:v>0</c:v>
                </c:pt>
              </c:numCache>
            </c:numRef>
          </c:val>
          <c:extLst>
            <c:ext xmlns:c16="http://schemas.microsoft.com/office/drawing/2014/chart" uri="{C3380CC4-5D6E-409C-BE32-E72D297353CC}">
              <c16:uniqueId val="{0000000B-7295-4BC5-BD93-94CCF16B6441}"/>
            </c:ext>
          </c:extLst>
        </c:ser>
        <c:ser>
          <c:idx val="12"/>
          <c:order val="12"/>
          <c:tx>
            <c:strRef>
              <c:f>'Low activity over 10m'!$B$175</c:f>
              <c:strCache>
                <c:ptCount val="1"/>
                <c:pt idx="0">
                  <c:v>Others</c:v>
                </c:pt>
              </c:strCache>
            </c:strRef>
          </c:tx>
          <c:spPr>
            <a:solidFill>
              <a:srgbClr val="55585A"/>
            </a:solidFill>
            <a:ln>
              <a:solidFill>
                <a:srgbClr val="FFFFFF"/>
              </a:solidFill>
            </a:ln>
          </c:spPr>
          <c:invertIfNegative val="0"/>
          <c:cat>
            <c:strRef>
              <c:f>'Low activity over 10m'!$C$162:$E$162</c:f>
              <c:strCache>
                <c:ptCount val="3"/>
                <c:pt idx="0">
                  <c:v>Most
profitable
quartile</c:v>
                </c:pt>
                <c:pt idx="1">
                  <c:v>Middle 
two quartiles</c:v>
                </c:pt>
                <c:pt idx="2">
                  <c:v>Least
profitable
quartile</c:v>
                </c:pt>
              </c:strCache>
            </c:strRef>
          </c:cat>
          <c:val>
            <c:numRef>
              <c:f>'Low activity over 10m'!$C$175:$E$175</c:f>
              <c:numCache>
                <c:formatCode>0%</c:formatCode>
                <c:ptCount val="3"/>
                <c:pt idx="0">
                  <c:v>0.20119925427652374</c:v>
                </c:pt>
                <c:pt idx="1">
                  <c:v>0.12259197005173461</c:v>
                </c:pt>
                <c:pt idx="2">
                  <c:v>0.13972536679957281</c:v>
                </c:pt>
              </c:numCache>
            </c:numRef>
          </c:val>
          <c:extLst>
            <c:ext xmlns:c16="http://schemas.microsoft.com/office/drawing/2014/chart" uri="{C3380CC4-5D6E-409C-BE32-E72D297353CC}">
              <c16:uniqueId val="{0000000C-7295-4BC5-BD93-94CCF16B6441}"/>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10m'!$N$165</c:f>
          <c:strCache>
            <c:ptCount val="1"/>
            <c:pt idx="0">
              <c:v>Top 5 landed species by value in 2021</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over 10m'!$H$163</c:f>
              <c:strCache>
                <c:ptCount val="1"/>
                <c:pt idx="0">
                  <c:v>Nephrops</c:v>
                </c:pt>
              </c:strCache>
            </c:strRef>
          </c:tx>
          <c:spPr>
            <a:solidFill>
              <a:srgbClr val="2273B9"/>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10m'!$I$163:$K$163</c:f>
              <c:numCache>
                <c:formatCode>0%</c:formatCode>
                <c:ptCount val="3"/>
                <c:pt idx="0">
                  <c:v>0.1682154661631354</c:v>
                </c:pt>
                <c:pt idx="1">
                  <c:v>0.38326185650454409</c:v>
                </c:pt>
                <c:pt idx="2">
                  <c:v>0.20903394791541832</c:v>
                </c:pt>
              </c:numCache>
            </c:numRef>
          </c:val>
          <c:extLst>
            <c:ext xmlns:c16="http://schemas.microsoft.com/office/drawing/2014/chart" uri="{C3380CC4-5D6E-409C-BE32-E72D297353CC}">
              <c16:uniqueId val="{00000000-1836-4913-9C6B-3F6403AC8D93}"/>
            </c:ext>
          </c:extLst>
        </c:ser>
        <c:ser>
          <c:idx val="1"/>
          <c:order val="1"/>
          <c:tx>
            <c:strRef>
              <c:f>'Low activity over 10m'!$H$164</c:f>
              <c:strCache>
                <c:ptCount val="1"/>
                <c:pt idx="0">
                  <c:v>Scallops</c:v>
                </c:pt>
              </c:strCache>
            </c:strRef>
          </c:tx>
          <c:spPr>
            <a:solidFill>
              <a:srgbClr val="E87308"/>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10m'!$I$164:$K$164</c:f>
              <c:numCache>
                <c:formatCode>0%</c:formatCode>
                <c:ptCount val="3"/>
                <c:pt idx="0">
                  <c:v>0.23803397686703368</c:v>
                </c:pt>
                <c:pt idx="1">
                  <c:v>0.18383323048585273</c:v>
                </c:pt>
                <c:pt idx="2">
                  <c:v>0</c:v>
                </c:pt>
              </c:numCache>
            </c:numRef>
          </c:val>
          <c:extLst>
            <c:ext xmlns:c16="http://schemas.microsoft.com/office/drawing/2014/chart" uri="{C3380CC4-5D6E-409C-BE32-E72D297353CC}">
              <c16:uniqueId val="{00000001-1836-4913-9C6B-3F6403AC8D93}"/>
            </c:ext>
          </c:extLst>
        </c:ser>
        <c:ser>
          <c:idx val="2"/>
          <c:order val="2"/>
          <c:tx>
            <c:strRef>
              <c:f>'Low activity over 10m'!$H$165</c:f>
              <c:strCache>
                <c:ptCount val="1"/>
                <c:pt idx="0">
                  <c:v>Bass</c:v>
                </c:pt>
              </c:strCache>
            </c:strRef>
          </c:tx>
          <c:spPr>
            <a:solidFill>
              <a:srgbClr val="169FDB"/>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10m'!$I$165:$K$165</c:f>
              <c:numCache>
                <c:formatCode>0%</c:formatCode>
                <c:ptCount val="3"/>
                <c:pt idx="0">
                  <c:v>0</c:v>
                </c:pt>
                <c:pt idx="1">
                  <c:v>0.14176665727817864</c:v>
                </c:pt>
                <c:pt idx="2">
                  <c:v>0</c:v>
                </c:pt>
              </c:numCache>
            </c:numRef>
          </c:val>
          <c:extLst>
            <c:ext xmlns:c16="http://schemas.microsoft.com/office/drawing/2014/chart" uri="{C3380CC4-5D6E-409C-BE32-E72D297353CC}">
              <c16:uniqueId val="{00000002-1836-4913-9C6B-3F6403AC8D93}"/>
            </c:ext>
          </c:extLst>
        </c:ser>
        <c:ser>
          <c:idx val="3"/>
          <c:order val="3"/>
          <c:tx>
            <c:strRef>
              <c:f>'Low activity over 10m'!$H$166</c:f>
              <c:strCache>
                <c:ptCount val="1"/>
                <c:pt idx="0">
                  <c:v>Thornback Ray</c:v>
                </c:pt>
              </c:strCache>
            </c:strRef>
          </c:tx>
          <c:spPr>
            <a:solidFill>
              <a:srgbClr val="0F9AA9"/>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10m'!$I$166:$K$166</c:f>
              <c:numCache>
                <c:formatCode>0%</c:formatCode>
                <c:ptCount val="3"/>
                <c:pt idx="0">
                  <c:v>0</c:v>
                </c:pt>
                <c:pt idx="1">
                  <c:v>7.4491170133173884E-2</c:v>
                </c:pt>
                <c:pt idx="2">
                  <c:v>0</c:v>
                </c:pt>
              </c:numCache>
            </c:numRef>
          </c:val>
          <c:extLst>
            <c:ext xmlns:c16="http://schemas.microsoft.com/office/drawing/2014/chart" uri="{C3380CC4-5D6E-409C-BE32-E72D297353CC}">
              <c16:uniqueId val="{00000003-1836-4913-9C6B-3F6403AC8D93}"/>
            </c:ext>
          </c:extLst>
        </c:ser>
        <c:ser>
          <c:idx val="4"/>
          <c:order val="4"/>
          <c:tx>
            <c:strRef>
              <c:f>'Low activity over 10m'!$H$167</c:f>
              <c:strCache>
                <c:ptCount val="1"/>
                <c:pt idx="0">
                  <c:v>Brown Shrimps</c:v>
                </c:pt>
              </c:strCache>
            </c:strRef>
          </c:tx>
          <c:spPr>
            <a:solidFill>
              <a:srgbClr val="C1D119"/>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10m'!$I$167:$K$167</c:f>
              <c:numCache>
                <c:formatCode>0%</c:formatCode>
                <c:ptCount val="3"/>
                <c:pt idx="0">
                  <c:v>0.18680788950784605</c:v>
                </c:pt>
                <c:pt idx="1">
                  <c:v>6.3360502548771958E-2</c:v>
                </c:pt>
                <c:pt idx="2">
                  <c:v>0</c:v>
                </c:pt>
              </c:numCache>
            </c:numRef>
          </c:val>
          <c:extLst>
            <c:ext xmlns:c16="http://schemas.microsoft.com/office/drawing/2014/chart" uri="{C3380CC4-5D6E-409C-BE32-E72D297353CC}">
              <c16:uniqueId val="{00000004-1836-4913-9C6B-3F6403AC8D93}"/>
            </c:ext>
          </c:extLst>
        </c:ser>
        <c:ser>
          <c:idx val="5"/>
          <c:order val="5"/>
          <c:tx>
            <c:strRef>
              <c:f>'Low activity over 10m'!$H$168</c:f>
              <c:strCache>
                <c:ptCount val="1"/>
                <c:pt idx="0">
                  <c:v>Lobsters</c:v>
                </c:pt>
              </c:strCache>
            </c:strRef>
          </c:tx>
          <c:spPr>
            <a:solidFill>
              <a:srgbClr val="648C2E"/>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10m'!$I$168:$K$168</c:f>
              <c:numCache>
                <c:formatCode>0%</c:formatCode>
                <c:ptCount val="3"/>
                <c:pt idx="0">
                  <c:v>0</c:v>
                </c:pt>
                <c:pt idx="1">
                  <c:v>0</c:v>
                </c:pt>
                <c:pt idx="2">
                  <c:v>0.4827365159537107</c:v>
                </c:pt>
              </c:numCache>
            </c:numRef>
          </c:val>
          <c:extLst>
            <c:ext xmlns:c16="http://schemas.microsoft.com/office/drawing/2014/chart" uri="{C3380CC4-5D6E-409C-BE32-E72D297353CC}">
              <c16:uniqueId val="{00000005-1836-4913-9C6B-3F6403AC8D93}"/>
            </c:ext>
          </c:extLst>
        </c:ser>
        <c:ser>
          <c:idx val="6"/>
          <c:order val="6"/>
          <c:tx>
            <c:strRef>
              <c:f>'Low activity over 10m'!$H$169</c:f>
              <c:strCache>
                <c:ptCount val="1"/>
                <c:pt idx="0">
                  <c:v>Brown Crab</c:v>
                </c:pt>
              </c:strCache>
            </c:strRef>
          </c:tx>
          <c:spPr>
            <a:solidFill>
              <a:srgbClr val="E40D2C"/>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10m'!$I$169:$K$169</c:f>
              <c:numCache>
                <c:formatCode>0%</c:formatCode>
                <c:ptCount val="3"/>
                <c:pt idx="0">
                  <c:v>0</c:v>
                </c:pt>
                <c:pt idx="1">
                  <c:v>0</c:v>
                </c:pt>
                <c:pt idx="2">
                  <c:v>0.11758629440415749</c:v>
                </c:pt>
              </c:numCache>
            </c:numRef>
          </c:val>
          <c:extLst>
            <c:ext xmlns:c16="http://schemas.microsoft.com/office/drawing/2014/chart" uri="{C3380CC4-5D6E-409C-BE32-E72D297353CC}">
              <c16:uniqueId val="{00000006-1836-4913-9C6B-3F6403AC8D93}"/>
            </c:ext>
          </c:extLst>
        </c:ser>
        <c:ser>
          <c:idx val="7"/>
          <c:order val="7"/>
          <c:tx>
            <c:strRef>
              <c:f>'Low activity over 10m'!$H$170</c:f>
              <c:strCache>
                <c:ptCount val="1"/>
                <c:pt idx="0">
                  <c:v>Sole</c:v>
                </c:pt>
              </c:strCache>
            </c:strRef>
          </c:tx>
          <c:spPr>
            <a:solidFill>
              <a:srgbClr val="E84A38"/>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10m'!$I$170:$K$170</c:f>
              <c:numCache>
                <c:formatCode>0%</c:formatCode>
                <c:ptCount val="3"/>
                <c:pt idx="0">
                  <c:v>0.16436451428816048</c:v>
                </c:pt>
                <c:pt idx="1">
                  <c:v>0</c:v>
                </c:pt>
                <c:pt idx="2">
                  <c:v>6.2598234984591133E-2</c:v>
                </c:pt>
              </c:numCache>
            </c:numRef>
          </c:val>
          <c:extLst>
            <c:ext xmlns:c16="http://schemas.microsoft.com/office/drawing/2014/chart" uri="{C3380CC4-5D6E-409C-BE32-E72D297353CC}">
              <c16:uniqueId val="{00000007-1836-4913-9C6B-3F6403AC8D93}"/>
            </c:ext>
          </c:extLst>
        </c:ser>
        <c:ser>
          <c:idx val="8"/>
          <c:order val="8"/>
          <c:tx>
            <c:strRef>
              <c:f>'Low activity over 10m'!$H$171</c:f>
              <c:strCache>
                <c:ptCount val="1"/>
                <c:pt idx="0">
                  <c:v>Turbot</c:v>
                </c:pt>
              </c:strCache>
            </c:strRef>
          </c:tx>
          <c:spPr>
            <a:solidFill>
              <a:srgbClr val="B4C3E5"/>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10m'!$I$171:$K$171</c:f>
              <c:numCache>
                <c:formatCode>0%</c:formatCode>
                <c:ptCount val="3"/>
                <c:pt idx="0">
                  <c:v>0</c:v>
                </c:pt>
                <c:pt idx="1">
                  <c:v>0</c:v>
                </c:pt>
                <c:pt idx="2">
                  <c:v>4.0130179211882007E-2</c:v>
                </c:pt>
              </c:numCache>
            </c:numRef>
          </c:val>
          <c:extLst>
            <c:ext xmlns:c16="http://schemas.microsoft.com/office/drawing/2014/chart" uri="{C3380CC4-5D6E-409C-BE32-E72D297353CC}">
              <c16:uniqueId val="{00000008-1836-4913-9C6B-3F6403AC8D93}"/>
            </c:ext>
          </c:extLst>
        </c:ser>
        <c:ser>
          <c:idx val="9"/>
          <c:order val="9"/>
          <c:tx>
            <c:strRef>
              <c:f>'Low activity over 10m'!$H$172</c:f>
              <c:strCache>
                <c:ptCount val="1"/>
                <c:pt idx="0">
                  <c:v>Whelks</c:v>
                </c:pt>
              </c:strCache>
            </c:strRef>
          </c:tx>
          <c:spPr>
            <a:solidFill>
              <a:srgbClr val="FED825"/>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10m'!$I$172:$K$172</c:f>
              <c:numCache>
                <c:formatCode>0%</c:formatCode>
                <c:ptCount val="3"/>
                <c:pt idx="0">
                  <c:v>9.2399920745795727E-2</c:v>
                </c:pt>
                <c:pt idx="1">
                  <c:v>0</c:v>
                </c:pt>
                <c:pt idx="2">
                  <c:v>0</c:v>
                </c:pt>
              </c:numCache>
            </c:numRef>
          </c:val>
          <c:extLst>
            <c:ext xmlns:c16="http://schemas.microsoft.com/office/drawing/2014/chart" uri="{C3380CC4-5D6E-409C-BE32-E72D297353CC}">
              <c16:uniqueId val="{00000009-1836-4913-9C6B-3F6403AC8D93}"/>
            </c:ext>
          </c:extLst>
        </c:ser>
        <c:ser>
          <c:idx val="10"/>
          <c:order val="10"/>
          <c:tx>
            <c:strRef>
              <c:f>'Low activity over 10m'!$H$173</c:f>
              <c:strCache>
                <c:ptCount val="1"/>
                <c:pt idx="0">
                  <c:v>Others</c:v>
                </c:pt>
              </c:strCache>
            </c:strRef>
          </c:tx>
          <c:spPr>
            <a:solidFill>
              <a:srgbClr val="55585A"/>
            </a:solidFill>
            <a:ln>
              <a:solidFill>
                <a:srgbClr val="FFFFFF"/>
              </a:solidFill>
            </a:ln>
          </c:spPr>
          <c:invertIfNegative val="0"/>
          <c:cat>
            <c:strRef>
              <c:f>'Low activity over 10m'!$I$162:$K$162</c:f>
              <c:strCache>
                <c:ptCount val="3"/>
                <c:pt idx="0">
                  <c:v>Most
profitable
quartile</c:v>
                </c:pt>
                <c:pt idx="1">
                  <c:v>Middle 
two quartiles</c:v>
                </c:pt>
                <c:pt idx="2">
                  <c:v>Least
profitable
quartile</c:v>
                </c:pt>
              </c:strCache>
            </c:strRef>
          </c:cat>
          <c:val>
            <c:numRef>
              <c:f>'Low activity over 10m'!$I$173:$K$173</c:f>
              <c:numCache>
                <c:formatCode>0%</c:formatCode>
                <c:ptCount val="3"/>
                <c:pt idx="0">
                  <c:v>0.15017823242802864</c:v>
                </c:pt>
                <c:pt idx="1">
                  <c:v>0.15328658304947873</c:v>
                </c:pt>
                <c:pt idx="2">
                  <c:v>8.791482753024038E-2</c:v>
                </c:pt>
              </c:numCache>
            </c:numRef>
          </c:val>
          <c:extLst>
            <c:ext xmlns:c16="http://schemas.microsoft.com/office/drawing/2014/chart" uri="{C3380CC4-5D6E-409C-BE32-E72D297353CC}">
              <c16:uniqueId val="{0000000A-1836-4913-9C6B-3F6403AC8D93}"/>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10m'!$K$144</c:f>
          <c:strCache>
            <c:ptCount val="1"/>
            <c:pt idx="0">
              <c:v>Total income, operating costs and operating profit  in 2021</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over 10m'!$K$140</c:f>
              <c:strCache>
                <c:ptCount val="1"/>
                <c:pt idx="0">
                  <c:v>Total income</c:v>
                </c:pt>
              </c:strCache>
            </c:strRef>
          </c:tx>
          <c:spPr>
            <a:solidFill>
              <a:srgbClr val="087CBB"/>
            </a:solidFill>
            <a:ln>
              <a:solidFill>
                <a:schemeClr val="accent1"/>
              </a:solidFill>
            </a:ln>
          </c:spPr>
          <c:invertIfNegative val="0"/>
          <c:cat>
            <c:strRef>
              <c:f>'Low activity over 10m'!$L$139:$N$139</c:f>
              <c:strCache>
                <c:ptCount val="3"/>
                <c:pt idx="0">
                  <c:v>Most
profitable
quartile</c:v>
                </c:pt>
                <c:pt idx="1">
                  <c:v>Middle
two quartiles</c:v>
                </c:pt>
                <c:pt idx="2">
                  <c:v>Least
profitable
quartile</c:v>
                </c:pt>
              </c:strCache>
            </c:strRef>
          </c:cat>
          <c:val>
            <c:numRef>
              <c:f>'Low activity over 10m'!$L$140:$N$140</c:f>
              <c:numCache>
                <c:formatCode>#,##0</c:formatCode>
                <c:ptCount val="3"/>
                <c:pt idx="0">
                  <c:v>4.9289404296874997</c:v>
                </c:pt>
                <c:pt idx="1">
                  <c:v>4.3840710449218703</c:v>
                </c:pt>
                <c:pt idx="2">
                  <c:v>2.5861767578124999</c:v>
                </c:pt>
              </c:numCache>
            </c:numRef>
          </c:val>
          <c:extLst>
            <c:ext xmlns:c16="http://schemas.microsoft.com/office/drawing/2014/chart" uri="{C3380CC4-5D6E-409C-BE32-E72D297353CC}">
              <c16:uniqueId val="{00000000-2D37-4BFA-AED2-C6F20E340016}"/>
            </c:ext>
          </c:extLst>
        </c:ser>
        <c:ser>
          <c:idx val="1"/>
          <c:order val="1"/>
          <c:tx>
            <c:strRef>
              <c:f>'Low activity over 10m'!$K$141</c:f>
              <c:strCache>
                <c:ptCount val="1"/>
                <c:pt idx="0">
                  <c:v>Operating costs</c:v>
                </c:pt>
              </c:strCache>
            </c:strRef>
          </c:tx>
          <c:spPr>
            <a:solidFill>
              <a:srgbClr val="E87308"/>
            </a:solidFill>
          </c:spPr>
          <c:invertIfNegative val="0"/>
          <c:cat>
            <c:strRef>
              <c:f>'Low activity over 10m'!$L$139:$N$139</c:f>
              <c:strCache>
                <c:ptCount val="3"/>
                <c:pt idx="0">
                  <c:v>Most
profitable
quartile</c:v>
                </c:pt>
                <c:pt idx="1">
                  <c:v>Middle
two quartiles</c:v>
                </c:pt>
                <c:pt idx="2">
                  <c:v>Least
profitable
quartile</c:v>
                </c:pt>
              </c:strCache>
            </c:strRef>
          </c:cat>
          <c:val>
            <c:numRef>
              <c:f>'Low activity over 10m'!$L$141:$N$141</c:f>
              <c:numCache>
                <c:formatCode>#,##0</c:formatCode>
                <c:ptCount val="3"/>
                <c:pt idx="0">
                  <c:v>7.7494736328125002</c:v>
                </c:pt>
                <c:pt idx="1">
                  <c:v>8.2091335449218708</c:v>
                </c:pt>
                <c:pt idx="2">
                  <c:v>7.5753081054687499</c:v>
                </c:pt>
              </c:numCache>
            </c:numRef>
          </c:val>
          <c:extLst>
            <c:ext xmlns:c16="http://schemas.microsoft.com/office/drawing/2014/chart" uri="{C3380CC4-5D6E-409C-BE32-E72D297353CC}">
              <c16:uniqueId val="{00000001-2D37-4BFA-AED2-C6F20E340016}"/>
            </c:ext>
          </c:extLst>
        </c:ser>
        <c:ser>
          <c:idx val="2"/>
          <c:order val="2"/>
          <c:tx>
            <c:strRef>
              <c:f>'Low activity over 10m'!$K$142</c:f>
              <c:strCache>
                <c:ptCount val="1"/>
                <c:pt idx="0">
                  <c:v>Operating profit</c:v>
                </c:pt>
              </c:strCache>
            </c:strRef>
          </c:tx>
          <c:spPr>
            <a:solidFill>
              <a:srgbClr val="51AA81"/>
            </a:solidFill>
          </c:spPr>
          <c:invertIfNegative val="0"/>
          <c:cat>
            <c:strRef>
              <c:f>'Low activity over 10m'!$L$139:$N$139</c:f>
              <c:strCache>
                <c:ptCount val="3"/>
                <c:pt idx="0">
                  <c:v>Most
profitable
quartile</c:v>
                </c:pt>
                <c:pt idx="1">
                  <c:v>Middle
two quartiles</c:v>
                </c:pt>
                <c:pt idx="2">
                  <c:v>Least
profitable
quartile</c:v>
                </c:pt>
              </c:strCache>
            </c:strRef>
          </c:cat>
          <c:val>
            <c:numRef>
              <c:f>'Low activity over 10m'!$L$142:$N$142</c:f>
              <c:numCache>
                <c:formatCode>#,##0</c:formatCode>
                <c:ptCount val="3"/>
                <c:pt idx="0">
                  <c:v>-2.8205332031250001</c:v>
                </c:pt>
                <c:pt idx="1">
                  <c:v>-3.8250625</c:v>
                </c:pt>
                <c:pt idx="2">
                  <c:v>-4.98913134765625</c:v>
                </c:pt>
              </c:numCache>
            </c:numRef>
          </c:val>
          <c:extLst>
            <c:ext xmlns:c16="http://schemas.microsoft.com/office/drawing/2014/chart" uri="{C3380CC4-5D6E-409C-BE32-E72D297353CC}">
              <c16:uniqueId val="{00000002-2D37-4BFA-AED2-C6F20E340016}"/>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'Low activity over 10m'!$K$143</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10m'!$A$49</c:f>
          <c:strCache>
            <c:ptCount val="1"/>
            <c:pt idx="0">
              <c:v>Landings per kW day at sea (kg)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466-4CA9-9E76-D71F5323E8CC}"/>
              </c:ext>
            </c:extLst>
          </c:dPt>
          <c:dPt>
            <c:idx val="10"/>
            <c:bubble3D val="0"/>
            <c:spPr>
              <a:ln w="57150">
                <a:solidFill>
                  <a:srgbClr val="2273B9"/>
                </a:solidFill>
                <a:prstDash val="sysDot"/>
              </a:ln>
            </c:spPr>
            <c:extLst>
              <c:ext xmlns:c16="http://schemas.microsoft.com/office/drawing/2014/chart" uri="{C3380CC4-5D6E-409C-BE32-E72D297353CC}">
                <c16:uniqueId val="{00000003-1466-4CA9-9E76-D71F5323E8CC}"/>
              </c:ext>
            </c:extLst>
          </c:dPt>
          <c:cat>
            <c:numRef>
              <c:f>'Low activity under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under 10m'!$D$22:$N$22</c:f>
              <c:numCache>
                <c:formatCode>#,##0.00</c:formatCode>
                <c:ptCount val="11"/>
                <c:pt idx="0">
                  <c:v>1.6885873937170193</c:v>
                </c:pt>
                <c:pt idx="1">
                  <c:v>1.5783058401426224</c:v>
                </c:pt>
                <c:pt idx="2">
                  <c:v>1.4114384911024449</c:v>
                </c:pt>
                <c:pt idx="3">
                  <c:v>1.2766409891640842</c:v>
                </c:pt>
                <c:pt idx="4">
                  <c:v>1.481686616534128</c:v>
                </c:pt>
                <c:pt idx="5">
                  <c:v>1.4701633196761674</c:v>
                </c:pt>
                <c:pt idx="6">
                  <c:v>1.7029172028150183</c:v>
                </c:pt>
                <c:pt idx="7">
                  <c:v>1.6177519176774515</c:v>
                </c:pt>
                <c:pt idx="8">
                  <c:v>1.7061623128636019</c:v>
                </c:pt>
                <c:pt idx="9">
                  <c:v>1.7935237248816298</c:v>
                </c:pt>
                <c:pt idx="10">
                  <c:v>1.867788869484232</c:v>
                </c:pt>
              </c:numCache>
            </c:numRef>
          </c:val>
          <c:smooth val="0"/>
          <c:extLst>
            <c:ext xmlns:c16="http://schemas.microsoft.com/office/drawing/2014/chart" uri="{C3380CC4-5D6E-409C-BE32-E72D297353CC}">
              <c16:uniqueId val="{00000004-1466-4CA9-9E76-D71F5323E8CC}"/>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10m'!$A$50</c:f>
          <c:strCache>
            <c:ptCount val="1"/>
            <c:pt idx="0">
              <c:v>Fishing income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8AC9-4690-BAC8-472D65C3809F}"/>
              </c:ext>
            </c:extLst>
          </c:dPt>
          <c:dPt>
            <c:idx val="10"/>
            <c:bubble3D val="0"/>
            <c:spPr>
              <a:ln w="57150">
                <a:solidFill>
                  <a:srgbClr val="648C2E"/>
                </a:solidFill>
                <a:prstDash val="sysDot"/>
              </a:ln>
            </c:spPr>
            <c:extLst>
              <c:ext xmlns:c16="http://schemas.microsoft.com/office/drawing/2014/chart" uri="{C3380CC4-5D6E-409C-BE32-E72D297353CC}">
                <c16:uniqueId val="{00000003-8AC9-4690-BAC8-472D65C3809F}"/>
              </c:ext>
            </c:extLst>
          </c:dPt>
          <c:cat>
            <c:numRef>
              <c:f>'Low activity under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under 10m'!$D$23:$N$23</c:f>
              <c:numCache>
                <c:formatCode>#,##0.00</c:formatCode>
                <c:ptCount val="11"/>
                <c:pt idx="0">
                  <c:v>5.2231122711714697</c:v>
                </c:pt>
                <c:pt idx="1">
                  <c:v>4.71907090905309</c:v>
                </c:pt>
                <c:pt idx="2">
                  <c:v>3.7789401654314498</c:v>
                </c:pt>
                <c:pt idx="3">
                  <c:v>3.5928710851340999</c:v>
                </c:pt>
                <c:pt idx="4">
                  <c:v>4.6908758152396999</c:v>
                </c:pt>
                <c:pt idx="5">
                  <c:v>4.9336761281935102</c:v>
                </c:pt>
                <c:pt idx="6">
                  <c:v>5.8298464577368403</c:v>
                </c:pt>
                <c:pt idx="7">
                  <c:v>5.5389051776791698</c:v>
                </c:pt>
                <c:pt idx="8">
                  <c:v>5.34962114037977</c:v>
                </c:pt>
                <c:pt idx="9">
                  <c:v>6.4003753608594502</c:v>
                </c:pt>
                <c:pt idx="10">
                  <c:v>6.634061838296649</c:v>
                </c:pt>
              </c:numCache>
            </c:numRef>
          </c:val>
          <c:smooth val="0"/>
          <c:extLst>
            <c:ext xmlns:c16="http://schemas.microsoft.com/office/drawing/2014/chart" uri="{C3380CC4-5D6E-409C-BE32-E72D297353CC}">
              <c16:uniqueId val="{00000004-8AC9-4690-BAC8-472D65C3809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10m'!$B$63</c:f>
          <c:strCache>
            <c:ptCount val="1"/>
            <c:pt idx="0">
              <c:v>Total cost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E4A-42D2-8485-C057B1525C62}"/>
              </c:ext>
            </c:extLst>
          </c:dPt>
          <c:dPt>
            <c:idx val="10"/>
            <c:bubble3D val="0"/>
            <c:spPr>
              <a:ln w="57150">
                <a:solidFill>
                  <a:srgbClr val="087CBB"/>
                </a:solidFill>
                <a:prstDash val="sysDot"/>
              </a:ln>
            </c:spPr>
            <c:extLst>
              <c:ext xmlns:c16="http://schemas.microsoft.com/office/drawing/2014/chart" uri="{C3380CC4-5D6E-409C-BE32-E72D297353CC}">
                <c16:uniqueId val="{00000003-1E4A-42D2-8485-C057B1525C62}"/>
              </c:ext>
            </c:extLst>
          </c:dPt>
          <c:cat>
            <c:numRef>
              <c:f>'Low activity under 10m'!$D$2:$N$2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'Low activity under 10m'!$D$24:$N$24</c:f>
              <c:numCache>
                <c:formatCode>#,##0.00</c:formatCode>
                <c:ptCount val="11"/>
                <c:pt idx="0">
                  <c:v>5.1688025772101902</c:v>
                </c:pt>
                <c:pt idx="1">
                  <c:v>5.3600075401970502</c:v>
                </c:pt>
                <c:pt idx="2">
                  <c:v>4.1699252564935101</c:v>
                </c:pt>
                <c:pt idx="3">
                  <c:v>4.3927353687474699</c:v>
                </c:pt>
                <c:pt idx="4">
                  <c:v>4.7138051960019096</c:v>
                </c:pt>
                <c:pt idx="5">
                  <c:v>4.4779041503338801</c:v>
                </c:pt>
                <c:pt idx="6">
                  <c:v>5.8735155533258903</c:v>
                </c:pt>
                <c:pt idx="7">
                  <c:v>7.6455847844545097</c:v>
                </c:pt>
                <c:pt idx="8">
                  <c:v>7.42162307471422</c:v>
                </c:pt>
                <c:pt idx="9">
                  <c:v>10.1552699788138</c:v>
                </c:pt>
                <c:pt idx="10">
                  <c:v>10.503784931794794</c:v>
                </c:pt>
              </c:numCache>
            </c:numRef>
          </c:val>
          <c:smooth val="0"/>
          <c:extLst>
            <c:ext xmlns:c16="http://schemas.microsoft.com/office/drawing/2014/chart" uri="{C3380CC4-5D6E-409C-BE32-E72D297353CC}">
              <c16:uniqueId val="{00000004-1E4A-42D2-8485-C057B1525C6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40.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52.xml"/><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0" Type="http://schemas.openxmlformats.org/officeDocument/2006/relationships/chart" Target="../charts/chart154.xml"/><Relationship Id="rId4" Type="http://schemas.openxmlformats.org/officeDocument/2006/relationships/chart" Target="../charts/chart148.xml"/><Relationship Id="rId9" Type="http://schemas.openxmlformats.org/officeDocument/2006/relationships/chart" Target="../charts/chart15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64.xml"/><Relationship Id="rId3" Type="http://schemas.openxmlformats.org/officeDocument/2006/relationships/chart" Target="../charts/chart159.xml"/><Relationship Id="rId7" Type="http://schemas.openxmlformats.org/officeDocument/2006/relationships/chart" Target="../charts/chart163.xml"/><Relationship Id="rId12" Type="http://schemas.openxmlformats.org/officeDocument/2006/relationships/chart" Target="../charts/chart168.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11" Type="http://schemas.openxmlformats.org/officeDocument/2006/relationships/chart" Target="../charts/chart167.xml"/><Relationship Id="rId5" Type="http://schemas.openxmlformats.org/officeDocument/2006/relationships/chart" Target="../charts/chart161.xml"/><Relationship Id="rId10" Type="http://schemas.openxmlformats.org/officeDocument/2006/relationships/chart" Target="../charts/chart166.xml"/><Relationship Id="rId4" Type="http://schemas.openxmlformats.org/officeDocument/2006/relationships/chart" Target="../charts/chart160.xml"/><Relationship Id="rId9" Type="http://schemas.openxmlformats.org/officeDocument/2006/relationships/chart" Target="../charts/chart16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76.xml"/><Relationship Id="rId3" Type="http://schemas.openxmlformats.org/officeDocument/2006/relationships/chart" Target="../charts/chart171.xml"/><Relationship Id="rId7" Type="http://schemas.openxmlformats.org/officeDocument/2006/relationships/chart" Target="../charts/chart175.xml"/><Relationship Id="rId12" Type="http://schemas.openxmlformats.org/officeDocument/2006/relationships/chart" Target="../charts/chart180.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0" Type="http://schemas.openxmlformats.org/officeDocument/2006/relationships/chart" Target="../charts/chart178.xml"/><Relationship Id="rId4" Type="http://schemas.openxmlformats.org/officeDocument/2006/relationships/chart" Target="../charts/chart172.xml"/><Relationship Id="rId9" Type="http://schemas.openxmlformats.org/officeDocument/2006/relationships/chart" Target="../charts/chart177.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88.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0.xml"/><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0" Type="http://schemas.openxmlformats.org/officeDocument/2006/relationships/chart" Target="../charts/chart202.xml"/><Relationship Id="rId4" Type="http://schemas.openxmlformats.org/officeDocument/2006/relationships/chart" Target="../charts/chart196.xml"/><Relationship Id="rId9" Type="http://schemas.openxmlformats.org/officeDocument/2006/relationships/chart" Target="../charts/chart20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12.xml"/><Relationship Id="rId3" Type="http://schemas.openxmlformats.org/officeDocument/2006/relationships/chart" Target="../charts/chart207.xml"/><Relationship Id="rId7" Type="http://schemas.openxmlformats.org/officeDocument/2006/relationships/chart" Target="../charts/chart211.xml"/><Relationship Id="rId12" Type="http://schemas.openxmlformats.org/officeDocument/2006/relationships/chart" Target="../charts/chart216.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11" Type="http://schemas.openxmlformats.org/officeDocument/2006/relationships/chart" Target="../charts/chart215.xml"/><Relationship Id="rId5" Type="http://schemas.openxmlformats.org/officeDocument/2006/relationships/chart" Target="../charts/chart209.xml"/><Relationship Id="rId10" Type="http://schemas.openxmlformats.org/officeDocument/2006/relationships/chart" Target="../charts/chart214.xml"/><Relationship Id="rId4" Type="http://schemas.openxmlformats.org/officeDocument/2006/relationships/chart" Target="../charts/chart208.xml"/><Relationship Id="rId9" Type="http://schemas.openxmlformats.org/officeDocument/2006/relationships/chart" Target="../charts/chart21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24.xml"/><Relationship Id="rId3" Type="http://schemas.openxmlformats.org/officeDocument/2006/relationships/chart" Target="../charts/chart219.xml"/><Relationship Id="rId7" Type="http://schemas.openxmlformats.org/officeDocument/2006/relationships/chart" Target="../charts/chart223.xml"/><Relationship Id="rId12" Type="http://schemas.openxmlformats.org/officeDocument/2006/relationships/chart" Target="../charts/chart228.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5" Type="http://schemas.openxmlformats.org/officeDocument/2006/relationships/chart" Target="../charts/chart221.xml"/><Relationship Id="rId10" Type="http://schemas.openxmlformats.org/officeDocument/2006/relationships/chart" Target="../charts/chart226.xml"/><Relationship Id="rId4" Type="http://schemas.openxmlformats.org/officeDocument/2006/relationships/chart" Target="../charts/chart220.xml"/><Relationship Id="rId9" Type="http://schemas.openxmlformats.org/officeDocument/2006/relationships/chart" Target="../charts/chart225.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6.xml"/><Relationship Id="rId3" Type="http://schemas.openxmlformats.org/officeDocument/2006/relationships/chart" Target="../charts/chart231.xml"/><Relationship Id="rId7" Type="http://schemas.openxmlformats.org/officeDocument/2006/relationships/chart" Target="../charts/chart235.xml"/><Relationship Id="rId12" Type="http://schemas.openxmlformats.org/officeDocument/2006/relationships/chart" Target="../charts/chart240.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11" Type="http://schemas.openxmlformats.org/officeDocument/2006/relationships/chart" Target="../charts/chart239.xml"/><Relationship Id="rId5" Type="http://schemas.openxmlformats.org/officeDocument/2006/relationships/chart" Target="../charts/chart233.xml"/><Relationship Id="rId10" Type="http://schemas.openxmlformats.org/officeDocument/2006/relationships/chart" Target="../charts/chart238.xml"/><Relationship Id="rId4" Type="http://schemas.openxmlformats.org/officeDocument/2006/relationships/chart" Target="../charts/chart232.xml"/><Relationship Id="rId9" Type="http://schemas.openxmlformats.org/officeDocument/2006/relationships/chart" Target="../charts/chart23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48.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60.xml"/><Relationship Id="rId3" Type="http://schemas.openxmlformats.org/officeDocument/2006/relationships/chart" Target="../charts/chart255.xml"/><Relationship Id="rId7" Type="http://schemas.openxmlformats.org/officeDocument/2006/relationships/chart" Target="../charts/chart259.xml"/><Relationship Id="rId12" Type="http://schemas.openxmlformats.org/officeDocument/2006/relationships/chart" Target="../charts/chart264.xml"/><Relationship Id="rId2" Type="http://schemas.openxmlformats.org/officeDocument/2006/relationships/chart" Target="../charts/chart254.xml"/><Relationship Id="rId1" Type="http://schemas.openxmlformats.org/officeDocument/2006/relationships/chart" Target="../charts/chart253.xml"/><Relationship Id="rId6" Type="http://schemas.openxmlformats.org/officeDocument/2006/relationships/chart" Target="../charts/chart258.xml"/><Relationship Id="rId11" Type="http://schemas.openxmlformats.org/officeDocument/2006/relationships/chart" Target="../charts/chart263.xml"/><Relationship Id="rId5" Type="http://schemas.openxmlformats.org/officeDocument/2006/relationships/chart" Target="../charts/chart257.xml"/><Relationship Id="rId10" Type="http://schemas.openxmlformats.org/officeDocument/2006/relationships/chart" Target="../charts/chart262.xml"/><Relationship Id="rId4" Type="http://schemas.openxmlformats.org/officeDocument/2006/relationships/chart" Target="../charts/chart256.xml"/><Relationship Id="rId9" Type="http://schemas.openxmlformats.org/officeDocument/2006/relationships/chart" Target="../charts/chart261.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72.xml"/><Relationship Id="rId3" Type="http://schemas.openxmlformats.org/officeDocument/2006/relationships/chart" Target="../charts/chart267.xml"/><Relationship Id="rId7" Type="http://schemas.openxmlformats.org/officeDocument/2006/relationships/chart" Target="../charts/chart271.xml"/><Relationship Id="rId12" Type="http://schemas.openxmlformats.org/officeDocument/2006/relationships/chart" Target="../charts/chart276.xml"/><Relationship Id="rId2" Type="http://schemas.openxmlformats.org/officeDocument/2006/relationships/chart" Target="../charts/chart266.xml"/><Relationship Id="rId1" Type="http://schemas.openxmlformats.org/officeDocument/2006/relationships/chart" Target="../charts/chart265.xml"/><Relationship Id="rId6" Type="http://schemas.openxmlformats.org/officeDocument/2006/relationships/chart" Target="../charts/chart270.xml"/><Relationship Id="rId11" Type="http://schemas.openxmlformats.org/officeDocument/2006/relationships/chart" Target="../charts/chart275.xml"/><Relationship Id="rId5" Type="http://schemas.openxmlformats.org/officeDocument/2006/relationships/chart" Target="../charts/chart269.xml"/><Relationship Id="rId10" Type="http://schemas.openxmlformats.org/officeDocument/2006/relationships/chart" Target="../charts/chart274.xml"/><Relationship Id="rId4" Type="http://schemas.openxmlformats.org/officeDocument/2006/relationships/chart" Target="../charts/chart268.xml"/><Relationship Id="rId9" Type="http://schemas.openxmlformats.org/officeDocument/2006/relationships/chart" Target="../charts/chart273.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84.xml"/><Relationship Id="rId3" Type="http://schemas.openxmlformats.org/officeDocument/2006/relationships/chart" Target="../charts/chart279.xml"/><Relationship Id="rId7" Type="http://schemas.openxmlformats.org/officeDocument/2006/relationships/chart" Target="../charts/chart283.xml"/><Relationship Id="rId12" Type="http://schemas.openxmlformats.org/officeDocument/2006/relationships/chart" Target="../charts/chart288.xml"/><Relationship Id="rId2" Type="http://schemas.openxmlformats.org/officeDocument/2006/relationships/chart" Target="../charts/chart278.xml"/><Relationship Id="rId1" Type="http://schemas.openxmlformats.org/officeDocument/2006/relationships/chart" Target="../charts/chart277.xml"/><Relationship Id="rId6" Type="http://schemas.openxmlformats.org/officeDocument/2006/relationships/chart" Target="../charts/chart282.xml"/><Relationship Id="rId11" Type="http://schemas.openxmlformats.org/officeDocument/2006/relationships/chart" Target="../charts/chart287.xml"/><Relationship Id="rId5" Type="http://schemas.openxmlformats.org/officeDocument/2006/relationships/chart" Target="../charts/chart281.xml"/><Relationship Id="rId10" Type="http://schemas.openxmlformats.org/officeDocument/2006/relationships/chart" Target="../charts/chart286.xml"/><Relationship Id="rId4" Type="http://schemas.openxmlformats.org/officeDocument/2006/relationships/chart" Target="../charts/chart280.xml"/><Relationship Id="rId9" Type="http://schemas.openxmlformats.org/officeDocument/2006/relationships/chart" Target="../charts/chart285.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96.xml"/><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2" Type="http://schemas.openxmlformats.org/officeDocument/2006/relationships/chart" Target="../charts/chart290.xml"/><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0" Type="http://schemas.openxmlformats.org/officeDocument/2006/relationships/chart" Target="../charts/chart298.xml"/><Relationship Id="rId4" Type="http://schemas.openxmlformats.org/officeDocument/2006/relationships/chart" Target="../charts/chart292.xml"/><Relationship Id="rId9" Type="http://schemas.openxmlformats.org/officeDocument/2006/relationships/chart" Target="../charts/chart297.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308.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320.xml"/><Relationship Id="rId3" Type="http://schemas.openxmlformats.org/officeDocument/2006/relationships/chart" Target="../charts/chart315.xml"/><Relationship Id="rId7" Type="http://schemas.openxmlformats.org/officeDocument/2006/relationships/chart" Target="../charts/chart319.xml"/><Relationship Id="rId12" Type="http://schemas.openxmlformats.org/officeDocument/2006/relationships/chart" Target="../charts/chart324.xml"/><Relationship Id="rId2" Type="http://schemas.openxmlformats.org/officeDocument/2006/relationships/chart" Target="../charts/chart314.xml"/><Relationship Id="rId1" Type="http://schemas.openxmlformats.org/officeDocument/2006/relationships/chart" Target="../charts/chart313.xml"/><Relationship Id="rId6" Type="http://schemas.openxmlformats.org/officeDocument/2006/relationships/chart" Target="../charts/chart318.xml"/><Relationship Id="rId11" Type="http://schemas.openxmlformats.org/officeDocument/2006/relationships/chart" Target="../charts/chart323.xml"/><Relationship Id="rId5" Type="http://schemas.openxmlformats.org/officeDocument/2006/relationships/chart" Target="../charts/chart317.xml"/><Relationship Id="rId10" Type="http://schemas.openxmlformats.org/officeDocument/2006/relationships/chart" Target="../charts/chart322.xml"/><Relationship Id="rId4" Type="http://schemas.openxmlformats.org/officeDocument/2006/relationships/chart" Target="../charts/chart316.xml"/><Relationship Id="rId9" Type="http://schemas.openxmlformats.org/officeDocument/2006/relationships/chart" Target="../charts/chart321.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32.xml"/><Relationship Id="rId3" Type="http://schemas.openxmlformats.org/officeDocument/2006/relationships/chart" Target="../charts/chart327.xml"/><Relationship Id="rId7" Type="http://schemas.openxmlformats.org/officeDocument/2006/relationships/chart" Target="../charts/chart331.xml"/><Relationship Id="rId12" Type="http://schemas.openxmlformats.org/officeDocument/2006/relationships/chart" Target="../charts/chart336.xml"/><Relationship Id="rId2" Type="http://schemas.openxmlformats.org/officeDocument/2006/relationships/chart" Target="../charts/chart326.xml"/><Relationship Id="rId1" Type="http://schemas.openxmlformats.org/officeDocument/2006/relationships/chart" Target="../charts/chart325.xml"/><Relationship Id="rId6" Type="http://schemas.openxmlformats.org/officeDocument/2006/relationships/chart" Target="../charts/chart330.xml"/><Relationship Id="rId11" Type="http://schemas.openxmlformats.org/officeDocument/2006/relationships/chart" Target="../charts/chart335.xml"/><Relationship Id="rId5" Type="http://schemas.openxmlformats.org/officeDocument/2006/relationships/chart" Target="../charts/chart329.xml"/><Relationship Id="rId10" Type="http://schemas.openxmlformats.org/officeDocument/2006/relationships/chart" Target="../charts/chart334.xml"/><Relationship Id="rId4" Type="http://schemas.openxmlformats.org/officeDocument/2006/relationships/chart" Target="../charts/chart328.xml"/><Relationship Id="rId9" Type="http://schemas.openxmlformats.org/officeDocument/2006/relationships/chart" Target="../charts/chart33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344.xml"/><Relationship Id="rId3" Type="http://schemas.openxmlformats.org/officeDocument/2006/relationships/chart" Target="../charts/chart339.xml"/><Relationship Id="rId7" Type="http://schemas.openxmlformats.org/officeDocument/2006/relationships/chart" Target="../charts/chart343.xml"/><Relationship Id="rId12" Type="http://schemas.openxmlformats.org/officeDocument/2006/relationships/chart" Target="../charts/chart348.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11" Type="http://schemas.openxmlformats.org/officeDocument/2006/relationships/chart" Target="../charts/chart347.xml"/><Relationship Id="rId5" Type="http://schemas.openxmlformats.org/officeDocument/2006/relationships/chart" Target="../charts/chart341.xml"/><Relationship Id="rId10" Type="http://schemas.openxmlformats.org/officeDocument/2006/relationships/chart" Target="../charts/chart346.xml"/><Relationship Id="rId4" Type="http://schemas.openxmlformats.org/officeDocument/2006/relationships/chart" Target="../charts/chart340.xml"/><Relationship Id="rId9" Type="http://schemas.openxmlformats.org/officeDocument/2006/relationships/chart" Target="../charts/chart345.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56.xml"/><Relationship Id="rId3" Type="http://schemas.openxmlformats.org/officeDocument/2006/relationships/chart" Target="../charts/chart351.xml"/><Relationship Id="rId7" Type="http://schemas.openxmlformats.org/officeDocument/2006/relationships/chart" Target="../charts/chart355.xml"/><Relationship Id="rId12" Type="http://schemas.openxmlformats.org/officeDocument/2006/relationships/chart" Target="../charts/chart360.xml"/><Relationship Id="rId2" Type="http://schemas.openxmlformats.org/officeDocument/2006/relationships/chart" Target="../charts/chart350.xml"/><Relationship Id="rId1" Type="http://schemas.openxmlformats.org/officeDocument/2006/relationships/chart" Target="../charts/chart349.xml"/><Relationship Id="rId6" Type="http://schemas.openxmlformats.org/officeDocument/2006/relationships/chart" Target="../charts/chart354.xml"/><Relationship Id="rId11" Type="http://schemas.openxmlformats.org/officeDocument/2006/relationships/chart" Target="../charts/chart359.xml"/><Relationship Id="rId5" Type="http://schemas.openxmlformats.org/officeDocument/2006/relationships/chart" Target="../charts/chart353.xml"/><Relationship Id="rId10" Type="http://schemas.openxmlformats.org/officeDocument/2006/relationships/chart" Target="../charts/chart358.xml"/><Relationship Id="rId4" Type="http://schemas.openxmlformats.org/officeDocument/2006/relationships/chart" Target="../charts/chart352.xml"/><Relationship Id="rId9" Type="http://schemas.openxmlformats.org/officeDocument/2006/relationships/chart" Target="../charts/chart35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57147</xdr:rowOff>
    </xdr:from>
    <xdr:to>
      <xdr:col>3</xdr:col>
      <xdr:colOff>66675</xdr:colOff>
      <xdr:row>28</xdr:row>
      <xdr:rowOff>276224</xdr:rowOff>
    </xdr:to>
    <xdr:sp macro="" textlink="">
      <xdr:nvSpPr>
        <xdr:cNvPr id="2" name="TextBox 1">
          <a:extLst>
            <a:ext uri="{FF2B5EF4-FFF2-40B4-BE49-F238E27FC236}">
              <a16:creationId xmlns:a16="http://schemas.microsoft.com/office/drawing/2014/main" id="{F4B341A7-D009-4236-B434-63572DAD6D24}"/>
            </a:ext>
          </a:extLst>
        </xdr:cNvPr>
        <xdr:cNvSpPr txBox="1"/>
      </xdr:nvSpPr>
      <xdr:spPr>
        <a:xfrm>
          <a:off x="47625" y="1171572"/>
          <a:ext cx="6858000" cy="8610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u="sng"/>
            <a:t>UK Fleet Highlights</a:t>
          </a:r>
        </a:p>
        <a:p>
          <a:endParaRPr lang="en-GB" sz="1200" u="sng"/>
        </a:p>
        <a:p>
          <a:endParaRPr lang="en-GB" sz="1200" u="sng"/>
        </a:p>
        <a:p>
          <a:r>
            <a:rPr lang="en-GB" sz="1200" u="sng"/>
            <a:t>The</a:t>
          </a:r>
          <a:r>
            <a:rPr lang="en-GB" sz="1200" u="sng" baseline="0"/>
            <a:t> Fleet</a:t>
          </a:r>
          <a:endParaRPr lang="en-GB" sz="1200" u="sng"/>
        </a:p>
        <a:p>
          <a:r>
            <a:rPr lang="en-GB" sz="1200" b="0" i="1" u="none" strike="noStrike">
              <a:solidFill>
                <a:schemeClr val="dk1"/>
              </a:solidFill>
              <a:effectLst/>
              <a:latin typeface="+mn-lt"/>
              <a:ea typeface="+mn-ea"/>
              <a:cs typeface="+mn-cs"/>
            </a:rPr>
            <a:t>- The number of active fishing vessels decreased from 4,287 in 2021 to 4,068 in 2022.</a:t>
          </a:r>
          <a:r>
            <a:rPr lang="en-GB" sz="1200" i="1"/>
            <a:t> </a:t>
          </a:r>
        </a:p>
        <a:p>
          <a:r>
            <a:rPr lang="en-GB" sz="1200" b="0" i="1" u="none" strike="noStrike">
              <a:solidFill>
                <a:schemeClr val="dk1"/>
              </a:solidFill>
              <a:effectLst/>
              <a:latin typeface="+mn-lt"/>
              <a:ea typeface="+mn-ea"/>
              <a:cs typeface="+mn-cs"/>
            </a:rPr>
            <a:t>- Of these vessels around 1,300 were deemed as low activity vessels with fishing income of less than £10,000 in the calendar year 2022.</a:t>
          </a:r>
          <a:r>
            <a:rPr lang="en-GB" sz="1200" i="1"/>
            <a:t> </a:t>
          </a:r>
        </a:p>
        <a:p>
          <a:r>
            <a:rPr lang="en-GB" sz="1200" i="1" u="none"/>
            <a:t>-</a:t>
          </a:r>
          <a:r>
            <a:rPr lang="en-GB" sz="1200" i="1" u="none" baseline="0"/>
            <a:t> </a:t>
          </a:r>
          <a:r>
            <a:rPr lang="en-GB" sz="1200" b="0" i="1" u="none" strike="noStrike">
              <a:solidFill>
                <a:schemeClr val="dk1"/>
              </a:solidFill>
              <a:effectLst/>
              <a:latin typeface="+mn-lt"/>
              <a:ea typeface="+mn-ea"/>
              <a:cs typeface="+mn-cs"/>
            </a:rPr>
            <a:t>Around 1,500 vessels were inactive in 2022, most of them under 10m vessels.</a:t>
          </a:r>
        </a:p>
        <a:p>
          <a:endParaRPr lang="en-GB" sz="1200" b="0" i="0" u="none" strike="noStrike">
            <a:solidFill>
              <a:schemeClr val="dk1"/>
            </a:solidFill>
            <a:effectLst/>
            <a:latin typeface="+mn-lt"/>
            <a:ea typeface="+mn-ea"/>
            <a:cs typeface="+mn-cs"/>
          </a:endParaRPr>
        </a:p>
        <a:p>
          <a:endParaRPr lang="en-GB" sz="1200" b="0" i="0" u="none" strike="noStrike">
            <a:solidFill>
              <a:schemeClr val="dk1"/>
            </a:solidFill>
            <a:effectLst/>
            <a:latin typeface="+mn-lt"/>
            <a:ea typeface="+mn-ea"/>
            <a:cs typeface="+mn-cs"/>
          </a:endParaRPr>
        </a:p>
        <a:p>
          <a:r>
            <a:rPr lang="en-GB" sz="1200" b="0" i="0" u="sng" strike="noStrike">
              <a:solidFill>
                <a:schemeClr val="dk1"/>
              </a:solidFill>
              <a:effectLst/>
              <a:latin typeface="+mn-lt"/>
              <a:ea typeface="+mn-ea"/>
              <a:cs typeface="+mn-cs"/>
            </a:rPr>
            <a:t>Landings</a:t>
          </a:r>
        </a:p>
        <a:p>
          <a:r>
            <a:rPr lang="en-GB" sz="1200" b="0" i="1" u="none" strike="noStrike">
              <a:solidFill>
                <a:schemeClr val="dk1"/>
              </a:solidFill>
              <a:effectLst/>
              <a:latin typeface="+mn-lt"/>
              <a:ea typeface="+mn-ea"/>
              <a:cs typeface="+mn-cs"/>
            </a:rPr>
            <a:t>-</a:t>
          </a:r>
          <a:r>
            <a:rPr lang="en-GB" sz="1200" b="0" i="1" u="none" strike="noStrike" baseline="0">
              <a:solidFill>
                <a:schemeClr val="dk1"/>
              </a:solidFill>
              <a:effectLst/>
              <a:latin typeface="+mn-lt"/>
              <a:ea typeface="+mn-ea"/>
              <a:cs typeface="+mn-cs"/>
            </a:rPr>
            <a:t> </a:t>
          </a:r>
          <a:r>
            <a:rPr lang="en-GB" sz="1200" b="0" i="1" u="none" strike="noStrike">
              <a:solidFill>
                <a:schemeClr val="dk1"/>
              </a:solidFill>
              <a:effectLst/>
              <a:latin typeface="+mn-lt"/>
              <a:ea typeface="+mn-ea"/>
              <a:cs typeface="+mn-cs"/>
            </a:rPr>
            <a:t>The UK fleet as a whole saw an increase in fishing revenues from £907 million in 2021 to around £1,003 million in 2022. This is despite a decrease in total weight landed, from 636 thousand tonnes in 2021 to 619 thousand tonnes in 2022.   </a:t>
          </a:r>
        </a:p>
        <a:p>
          <a:r>
            <a:rPr lang="en-GB" sz="1200" b="0" i="1" u="none" strike="noStrike">
              <a:solidFill>
                <a:schemeClr val="dk1"/>
              </a:solidFill>
              <a:effectLst/>
              <a:latin typeface="+mn-lt"/>
              <a:ea typeface="+mn-ea"/>
              <a:cs typeface="+mn-cs"/>
            </a:rPr>
            <a:t>- The average price per tonne landed increased</a:t>
          </a:r>
          <a:r>
            <a:rPr lang="en-GB" sz="1200" b="0" i="1" u="none" strike="noStrike" baseline="0">
              <a:solidFill>
                <a:schemeClr val="dk1"/>
              </a:solidFill>
              <a:effectLst/>
              <a:latin typeface="+mn-lt"/>
              <a:ea typeface="+mn-ea"/>
              <a:cs typeface="+mn-cs"/>
            </a:rPr>
            <a:t> from £1,426 in 2021 to £1,621 in 2022. </a:t>
          </a:r>
          <a:r>
            <a:rPr lang="en-GB" sz="1200" b="0" i="1" u="none" strike="noStrike">
              <a:solidFill>
                <a:schemeClr val="dk1"/>
              </a:solidFill>
              <a:effectLst/>
              <a:latin typeface="+mn-lt"/>
              <a:ea typeface="+mn-ea"/>
              <a:cs typeface="+mn-cs"/>
            </a:rPr>
            <a:t>This was the highest average price during the time series both nominally and adjusted for inflation.</a:t>
          </a:r>
          <a:r>
            <a:rPr lang="en-GB" sz="1200" i="1"/>
            <a:t> </a:t>
          </a:r>
        </a:p>
        <a:p>
          <a:r>
            <a:rPr lang="en-GB" sz="1200" b="0" i="1" u="none" strike="noStrike">
              <a:solidFill>
                <a:schemeClr val="dk1"/>
              </a:solidFill>
              <a:effectLst/>
              <a:latin typeface="+mn-lt"/>
              <a:ea typeface="+mn-ea"/>
              <a:cs typeface="+mn-cs"/>
            </a:rPr>
            <a:t>- Fishing revenues increased in most Seafish defined segments in 2022 thans</a:t>
          </a:r>
          <a:r>
            <a:rPr lang="en-GB" sz="1200" b="0" i="1" u="none" strike="noStrike" baseline="0">
              <a:solidFill>
                <a:schemeClr val="dk1"/>
              </a:solidFill>
              <a:effectLst/>
              <a:latin typeface="+mn-lt"/>
              <a:ea typeface="+mn-ea"/>
              <a:cs typeface="+mn-cs"/>
            </a:rPr>
            <a:t> to the increase in average prices.</a:t>
          </a:r>
          <a:r>
            <a:rPr lang="en-GB" sz="1200" i="1"/>
            <a:t> </a:t>
          </a:r>
        </a:p>
        <a:p>
          <a:endParaRPr lang="en-GB" sz="1200" u="none"/>
        </a:p>
        <a:p>
          <a:r>
            <a:rPr lang="en-GB" sz="1200" u="sng"/>
            <a:t>Costs</a:t>
          </a:r>
        </a:p>
        <a:p>
          <a:r>
            <a:rPr lang="en-GB" sz="1200" b="0" i="1" u="none" strike="noStrike">
              <a:solidFill>
                <a:schemeClr val="dk1"/>
              </a:solidFill>
              <a:effectLst/>
              <a:latin typeface="+mn-lt"/>
              <a:ea typeface="+mn-ea"/>
              <a:cs typeface="+mn-cs"/>
            </a:rPr>
            <a:t>- The</a:t>
          </a:r>
          <a:r>
            <a:rPr lang="en-GB" sz="1200" b="0" i="1" u="none" strike="noStrike" baseline="0">
              <a:solidFill>
                <a:schemeClr val="dk1"/>
              </a:solidFill>
              <a:effectLst/>
              <a:latin typeface="+mn-lt"/>
              <a:ea typeface="+mn-ea"/>
              <a:cs typeface="+mn-cs"/>
            </a:rPr>
            <a:t> rise in fuel prices was the most significative change in 2022. </a:t>
          </a:r>
          <a:r>
            <a:rPr lang="en-GB" sz="1200" b="0" i="1" u="none" strike="noStrike">
              <a:solidFill>
                <a:schemeClr val="dk1"/>
              </a:solidFill>
              <a:effectLst/>
              <a:latin typeface="+mn-lt"/>
              <a:ea typeface="+mn-ea"/>
              <a:cs typeface="+mn-cs"/>
            </a:rPr>
            <a:t>Total spend on marine fuel in 2022 was an estimated £195 million, a 67% increase from 2021 as fuel prices increased sharply in 2022 following</a:t>
          </a:r>
          <a:r>
            <a:rPr lang="en-GB" sz="1200" b="0" i="1" u="none" strike="noStrike" baseline="0">
              <a:solidFill>
                <a:schemeClr val="dk1"/>
              </a:solidFill>
              <a:effectLst/>
              <a:latin typeface="+mn-lt"/>
              <a:ea typeface="+mn-ea"/>
              <a:cs typeface="+mn-cs"/>
            </a:rPr>
            <a:t> </a:t>
          </a:r>
          <a:r>
            <a:rPr lang="en-GB" sz="1200" b="0" i="1" u="none" strike="noStrike">
              <a:solidFill>
                <a:schemeClr val="dk1"/>
              </a:solidFill>
              <a:effectLst/>
              <a:latin typeface="+mn-lt"/>
              <a:ea typeface="+mn-ea"/>
              <a:cs typeface="+mn-cs"/>
            </a:rPr>
            <a:t>the Ukraine war. </a:t>
          </a:r>
          <a:r>
            <a:rPr lang="en-GB" sz="1200" i="1"/>
            <a:t> </a:t>
          </a:r>
        </a:p>
        <a:p>
          <a:endParaRPr lang="en-GB" sz="1200" b="0" i="0" u="none" strike="noStrike">
            <a:solidFill>
              <a:schemeClr val="dk1"/>
            </a:solidFill>
            <a:effectLst/>
            <a:latin typeface="+mn-lt"/>
            <a:ea typeface="+mn-ea"/>
            <a:cs typeface="+mn-cs"/>
          </a:endParaRPr>
        </a:p>
        <a:p>
          <a:endParaRPr lang="en-GB" sz="1200" b="0" i="0" u="none" strike="noStrike">
            <a:solidFill>
              <a:schemeClr val="dk1"/>
            </a:solidFill>
            <a:effectLst/>
            <a:latin typeface="+mn-lt"/>
            <a:ea typeface="+mn-ea"/>
            <a:cs typeface="+mn-cs"/>
          </a:endParaRPr>
        </a:p>
        <a:p>
          <a:r>
            <a:rPr lang="en-GB" sz="1200" b="0" i="0" u="sng" strike="noStrike">
              <a:solidFill>
                <a:schemeClr val="dk1"/>
              </a:solidFill>
              <a:effectLst/>
              <a:latin typeface="+mn-lt"/>
              <a:ea typeface="+mn-ea"/>
              <a:cs typeface="+mn-cs"/>
            </a:rPr>
            <a:t>Profit</a:t>
          </a:r>
        </a:p>
        <a:p>
          <a:r>
            <a:rPr lang="en-GB" sz="1200" b="0" i="1" u="none" strike="noStrike">
              <a:solidFill>
                <a:schemeClr val="dk1"/>
              </a:solidFill>
              <a:effectLst/>
              <a:latin typeface="+mn-lt"/>
              <a:ea typeface="+mn-ea"/>
              <a:cs typeface="+mn-cs"/>
            </a:rPr>
            <a:t>- Despite the increase in average prices, higher</a:t>
          </a:r>
          <a:r>
            <a:rPr lang="en-GB" sz="1200" b="0" i="1" u="none" strike="noStrike" baseline="0">
              <a:solidFill>
                <a:schemeClr val="dk1"/>
              </a:solidFill>
              <a:effectLst/>
              <a:latin typeface="+mn-lt"/>
              <a:ea typeface="+mn-ea"/>
              <a:cs typeface="+mn-cs"/>
            </a:rPr>
            <a:t> costs resulted in a drop in operating profit in 2022: £225 million, an 18% decrease from 2021 figures.</a:t>
          </a:r>
          <a:endParaRPr lang="en-GB" sz="1200" i="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6FD649B6-1AA8-4B4F-9709-54B310EFD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E46D207-2C46-4BA3-BFB9-2BDCC7B4A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32F2C17B-A97E-4FBE-8956-BAC1CE117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68A0740A-6302-4B80-89B2-02FB84DF3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6B1A118E-AA59-4944-A251-3C8FC8D7B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4A2A4EC6-9BAC-4EB4-8C06-F91200134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5936FFF-726C-4414-BC83-DF3BE572B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E7FAF125-5B4A-4DB2-8265-5AA5B5246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09A2F41-04B9-48F7-A86B-B681EBF9F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532278ED-D259-4A86-9121-9E6F6A494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FBA0C408-643E-47CF-BD98-AAA93E297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7D97FDF1-3705-4438-A859-C077B3391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A91B309D-37DF-4D0A-9DC3-766E1F5FD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001277E9-0479-4368-850B-6F99DAE85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790A0DC3-4E11-4788-B4EB-FDAA32A29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A3B4C73-07F0-4BD4-85F9-14CAD9491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289749F7-5744-4FFE-8B4C-2058015D0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9D804411-3ACC-4D87-B829-32F176457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6CEE20F8-1555-4516-BB8F-BEC50B6B2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04E2B213-CADA-44F1-9915-53FADF5E6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FA5B957D-6A53-47F6-80A8-2964B20DB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DCCB689E-75F4-4248-AC81-EEC7B2072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B397CFE4-3CE5-4DBF-9B0B-0175A9BD3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85EA47E-E001-4AA3-A213-AF07E5349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F22DF46F-C205-40AF-9E7C-2723B8BA3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FCEF7352-98D7-4F63-83E9-D215052D2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4E864760-D39C-4A00-AD88-6F4265D70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5ECE1AF9-4708-403F-BFA6-70A4E0D30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C3CF5D2-C935-4FCD-A231-9BC7DA0B6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CA90D469-9A9E-4F82-93E3-A171CA4DE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F730FE3F-4194-4C97-BB88-0B895D946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16B9AAA3-88DF-46FA-8ADE-DB17ADD06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9204EBC7-E108-471D-9E7C-40BB2A919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5EBBA1F0-8BA5-4ABD-8059-6BB6DBE8B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F590CA37-4621-446F-882D-A14450552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BC44A3D0-2F9B-4EE1-A63B-CD10B7E8F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8D4A3235-A8AD-441D-8B01-E10AAD531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E10A36C0-3F0F-46C9-80CA-013B92675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C3D2C294-5B6B-4975-925A-4AB3CDBB6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586AD7CC-DFC5-4BEB-BDD9-2769F826E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55E9331D-6F3F-4A01-B288-F65AB2D88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8E473224-8E1C-496E-A0C2-898BE6413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7BFAA09B-600D-411E-9BDC-DFD59F1AC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5FE8AE4E-1264-43E8-922E-7925272E4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0E9432A-9740-4BDD-BC43-CE573466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06E8BFAC-0013-4B51-8CC6-ED8808A77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C4DBC54C-8486-41D7-9898-6F7C5C904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056B3C3E-4B98-4029-8FED-860764286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B5F80DE4-BE41-4FD3-BD1B-717DE2CEC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01A0FCEC-5A7F-4808-980D-F6223DB32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8A361177-B643-4DA8-8B97-108ED670F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06A6FA2A-C7EC-404B-A60F-FEE176187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CCBB5DA1-7F7E-40D1-959E-09CDD9E20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CEBC8224-EE12-484C-A6F5-4E2BBED3D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C22EFB9-29F8-459A-AD8B-174353219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EC32790F-C8DC-499F-85D3-E54A9EFD6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37FD0FE-A2BD-4B9E-8658-8EA040880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9F055A6A-ED72-4F1B-AE74-03D1291E3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689DBE69-5C44-41CD-A170-BE2C0EB21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2B97748B-747F-4412-970A-B1E341FCD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2E174820-C75B-4EA4-9010-B9EFACCDD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07C70D4F-DC47-4B13-9742-5ADCA0972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764210C1-17EF-4596-A789-1527CACB7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6B409C20-B1AC-4A6F-82EA-2EF6D0847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B511612-8384-4445-B665-4B162AC4C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66DF6679-3C81-4352-815F-26391B331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DAE7CEE-78DC-4133-8091-2A9A77C4D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4826A140-B634-4C0C-828E-79A79FEF0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0FDB95B0-856B-4284-956E-B32132A9C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9A1CDBB-8804-45E8-8588-F908B0EC9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3D97CD21-D1C1-490D-B12F-68A4EAF3A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57C0139-BD31-4780-846F-D63C37E32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B46411C7-4137-4624-B7D0-28F9D8BAB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E2B28236-8843-4100-AE32-AD1A08056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F2D54879-725B-4040-AA40-A5816842F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2764F3EA-1833-4DBC-867E-E6F4E577E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FC0B56A1-20E4-4AA8-B5B1-275991443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A24BE552-6B1B-4EF2-9B09-D2081C5AD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300009D-8790-467E-86AF-1792844E6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8A0362A5-8A07-4DD1-A5CD-FD1AC020E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658CE3FD-37F1-4200-90D9-FC22DBBDD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CF080FC5-136D-4F63-A3B9-A9E9B5EAB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AEB70C55-AB09-4474-AA92-DEA9E6081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0ADDB8BF-0B08-4912-BAC5-7EFD45341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D7F4D345-4497-4039-A427-F0C5767F9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F3EA29E-75CE-4DA3-AD48-70584BBEB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DD85926-45C8-4096-895D-9E341B4B2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E0E2D6B3-15CB-4229-B333-EB1C574E0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F6054A18-C292-4E04-83C2-F7681E355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3CC15099-D95C-4FD4-8D46-EC5EEC8F2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C4F626E8-4DB3-4125-AD7E-498C93A95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8F4569FD-8E0B-408F-8FBF-CB9D34474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A9C9007-231E-452B-966D-D42CF6004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F8303BD7-5C2E-4FFF-B95E-7B13F2E05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3A2F1EEB-C574-41DD-92AA-3DAE073DD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6F30C65A-E09B-421B-BEEE-3C68C2AA3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0C8E93C2-F961-4D66-968B-9E432992E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D089EE0A-DD56-49A0-9749-1B9AA0664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E75FC79F-37E3-45FF-97A8-28F79270B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3271FA01-07D1-48C0-BD36-D7B1462E1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3C89194E-C4F5-4C5C-960F-934FD7A09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D8802FA5-6B74-4648-A652-55937095C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6FBCA70B-3700-4ADA-B35B-53915760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054CDC85-A299-40F8-B02C-3ABC3C409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5B7FC768-DF2B-400A-859D-FBA5C5BF5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0549BC18-DC13-4CDE-9806-4B5822CCD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89F0D61A-FCA7-48BE-BD40-4FCEB4D4F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86F41D4A-ACC3-4AF0-8820-45051F915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9C7B0CF4-FC8F-4A58-B0DC-B6DBD05B5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9E99DA1C-EF02-4C97-81E3-B982CDDAA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99D7AAB-0CF5-4B7D-9D5F-DBAEE5BD3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3F1649D5-749D-4D4E-9057-82C3E941E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23BB934D-5FFE-4ED4-A37E-73C621133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F72EC4A2-7872-428C-829F-A3832C613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970A5A3-33FE-4F97-8BF0-C3672A0CF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039CE7EE-EEC9-45D5-A70A-E8FF363E0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24C60484-1E81-4AD0-A8E6-1D69081B6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12F77F93-7EF5-4042-AD66-7C07AF368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50FDCB87-19DB-4381-95EB-B3DA10878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A7E7FBC2-383F-4A9B-9880-C059D94E8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93B1F845-C03A-4BF3-B285-D8E64CD1F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9520031A-9C86-4449-A2D3-687BA47F8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E92548FD-FA3F-48D3-B744-FC27AF30E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6CF1A0A9-459E-456F-96C1-73D0B6048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C1542339-12FB-4BAF-956F-3E884BC73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1BD443BE-92B6-4813-9B18-5E5FFD4E0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D0EF88FD-028C-4486-ADBA-194552D02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3C1B5412-4993-4D51-8A60-AF8CD3E4E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8AC30785-EA8E-40B6-89B0-9B2DA8580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CCD6FC7-0094-47E7-B2A2-0143E51EE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E3DEADC3-A0D9-4695-8B1A-F4990B86F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A3D9FD5D-D55A-473F-9917-6FEBDABBE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853D0269-B540-4C94-8FBC-4D80CAED9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212750FC-0C64-4BE3-9528-BD16A9EB7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755679D-D963-48D3-B95A-E34CEE433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277311AE-1A8A-4802-B5A0-70A54753A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DBDD2AE-6930-41B3-B39F-DB1D0BCDF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E9F99A8A-A897-4084-81D5-4C07CCFA8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0B41B351-CA72-4E2C-879B-79822BCC7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1B0DB0F-73C7-4506-92D1-00D4237DB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2ABD4214-928D-404D-89E4-503743BD9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B03A5DD9-88D1-4367-AAEF-080B5B774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B4C7AF89-F3FB-43AB-8F78-FB5868582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7492F904-5AC9-4B09-B57E-29F0FCF81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9D495E18-EC97-48D5-9361-A0EC78A15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EF44A93E-EE60-44E4-A6A0-8683FA074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0206467-0735-47A9-8499-EA5629AAA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906FD97E-E9EF-4009-A6E9-01FFD98A1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A299AA50-FDE0-4A53-9BF0-88438E6AF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F4D22376-DBFD-4523-B5EE-305FBCF11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D6919611-A587-49CD-854D-47B924480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6B6EC901-2847-42F3-9711-41D3BA899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363DDDBD-8BA7-4C30-8DD4-930223B74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815D1A2E-847F-4A61-B636-5A4724C2C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D848D1E4-4773-47EF-842C-D0E86F435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9F51709-7BE0-4D68-8D8E-686BF7F2B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5326EC7A-6FDF-46E0-95CF-F7153FD60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07D7CC3E-F75B-4734-98B0-B5945146D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B966F11B-2EAB-41A3-B381-31DE53DB7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42D91E6-43C2-4C72-ABA0-32C1C43AF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3CF0A449-903D-4A45-8C81-54DB12A1B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B452A414-F7EB-4454-A586-B7F72CED2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BCE3A1E8-C719-455A-85C9-F780A6007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13807639-A063-4CF7-96F7-61AECAFF7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AF52AFD-58F9-44A3-9265-E8076C96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F45948A1-96D3-49EE-9484-A5DD58B7B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064246A3-6627-4844-8774-1829252AB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B67ABEF-BBE4-46E9-8041-63BF4B9D7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1F4EA4CC-F2B8-4A48-913D-1DFBEB217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0DC96F84-17C6-4E17-AA28-C2B803ABC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2ADDD301-2461-4F1E-BDCD-F08E1BC5B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610F6C6-F0A1-4248-85A9-DA0CD83E6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3FC0F11-8A80-49B7-9B02-4DD05AB34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ACA90EA3-41DE-4DCF-95A8-65D124C59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90898FE8-2BFC-43D7-AC90-9173ED4E9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AA7C869-E1F8-4835-ACC2-E364B304F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B2E00E9D-8680-40EB-A543-C787E7468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F0B7B1F-CBB6-4A3C-AB50-FF09846E1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5F6EF92F-B7F2-4CEF-AF2D-D75E6CA07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E205401C-04B2-4E77-894E-F6AFA7C1E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B47F024E-6004-47F3-83BF-843AA0FBA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BF291288-C06D-4A41-A04B-6A744FF54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344D4A37-3A08-4F86-B2D6-9F640EEA5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F61236BF-1DBF-49E9-BDA7-7C032144A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D10BBE41-3C1E-43E2-A8E0-F5AF3638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47036644-19D9-488A-963A-F9A3C657A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691CADE2-02F3-4A66-854D-C47F16E84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C7527DA8-2693-478A-82CF-AF2AA17C5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C1786F82-6739-4E3D-8018-073BEC97A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1888CC7A-D01E-4ABD-813B-2B8ED58A4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F4797C63-F24F-48CB-A121-05A2E2D55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230D99A9-D626-45BA-BAFC-E9D1C089A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FF4EF352-4566-4C22-94B0-4857078EE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93706FB6-0092-434A-BA6C-E14BB20B0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BCFA3E83-1626-4EDC-9A05-E9D7D58AE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AAC2A2B-03CF-4859-99AF-5A8D89636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AFDC6CBB-8753-4BC4-BB08-3B6B6CF33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D78A597A-4F48-47F8-AFFF-88D44183C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C4E4E600-FE2A-4412-B3BB-A133126A8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5C1095AE-79F3-4663-9CB4-750E4406E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FC488FC-D360-4336-99B9-D73B41D0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9F811E6-46D0-470F-AC1F-96A88BC7C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5FA27DD8-8F81-4070-B844-AAA211C85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A2CE6F1B-F563-4097-A58F-FF6DC257F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03D41364-EA98-4E9E-B9D4-3CB0841C4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A019511-8524-485C-9B37-616BC3369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96F9CE2-A2EB-4043-A367-7A85DA7E3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7C46467-6A91-445D-BEFE-AC74214DC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C0B72CCA-C96F-4DB6-B158-6FCF8017A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530FEE68-749A-4F16-B952-52686C501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1B8237D-28AA-4A15-82D2-F87BF48C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E7EC9DBF-F001-482C-A159-59A81203E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4E91DEBC-B616-4F70-ADA8-923CBEC2A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A8CD9EE-8240-4FC9-80A9-24DE715CB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6900C53D-6313-410C-A825-2B5A4BC05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3F3002C-BAC4-4880-8879-23E5B4314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AEA4B7E8-3037-45C9-AE2B-1A46113E8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52163C85-A9D1-4F2A-AF4E-9B15ECD18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890DBBBC-2985-4A99-A357-36C6ADDCC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EF9E6559-1C46-45C8-806C-D029A68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31B7573-774A-430D-B533-A0AB03FF2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02D2C6DA-18DB-4D75-BF56-14DC0EAF7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B30A018-13F4-4202-BC73-F3A812FCF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A56A0618-3948-4BBA-B5AE-552CFD7E3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3C7EF790-690C-442F-89B0-EE18E7FE2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2FBFF9DE-F8F9-44A0-A029-256BF29B6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32B3F896-7046-4C93-953B-CC0BB2697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87E920A5-D2A8-47DF-9C84-30A8CDFB9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6DAE1114-B365-488D-9CC7-17B724175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1523095C-BE67-42A1-9310-31919A1DA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9A91E20-1240-4D50-9D97-CFE70EBB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A0489D9-8AAC-46B9-AAFD-369E755E4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8008067-564E-4B92-9118-5322F10F7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F30939B5-AC87-4CB1-8A3C-DE826337F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2C8BA453-131D-4055-A733-CE447004F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4FB98420-101E-4522-BAD9-21DC5BE64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11E76D9-4656-4C6A-800F-4F7A13E30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4AB5C46-FFF5-4964-88C0-166E81EF0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E5186290-71F5-46BB-8CED-C9F26D4D0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6077C54-2265-429B-94B2-3DCD17E23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6C3C2906-FFC0-4B23-B47F-6303BC0D2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F297C313-7876-45EE-B8DB-70CC6249D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DF6B1BD7-2086-4612-AE62-146AAB62B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01CE2AFE-B7B4-4878-88FC-B7063F3FA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E05CA053-C9D1-4D31-AE0C-C3760E22D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C6859F9B-5E9F-4C50-9876-45236310F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DF2443AE-E28B-4C79-81CA-68CFAAF40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D1E1195C-2599-4F31-8A29-DA4D2A93D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68ED1A96-FE7E-42CD-AD2E-E03B259B9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E768AE74-6C09-46C9-9DC1-32A43B334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D0BADEF2-96E8-4184-8AA8-076AD3617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87C96E60-664F-4073-8E2C-FB93F9ED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1A2911CF-2372-4358-8773-3D60C8E2C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1CE0A595-7C64-4BF0-A4BB-92967DFE9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A6DBC0E7-10F7-4FE1-BD78-7E403CFB8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A27C35E9-E453-476B-ACA7-564BD5B1C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C72CE092-17CF-4ED3-ABE4-695EE4BCF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4ABF6544-3E9E-40D5-85EE-712E02B9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30E8688E-DE9F-4700-AA52-4CC65B03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61E51FD-5A05-44D5-B50E-B1C5BD35B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A6CA001-DA5D-4B38-B19D-E146C293E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01EAD990-64D9-4BCC-8AEE-A76F0532E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D5FF1053-B93C-4515-AC8A-8FA728DC8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0958C6C-60BC-4036-9C22-69477195A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A9292A95-9CA0-4701-9CDA-32C9B3FD9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02D3C79B-A121-4A37-8A46-412617990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2D57F302-A59D-4CB2-8768-A34F8DB13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F6263DE8-5498-4E64-9E38-1F71A5422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6D05B221-8023-475F-8A30-AE5565502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7BC03CB4-F643-474E-B0D9-FC80B2B14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E833C2A2-C35B-448E-A97C-D9811E536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E352B283-DC25-4B31-8320-E82B64121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5A231A76-D8A9-4CEC-9FAC-1C2257403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C6B1925E-9632-405D-BEB4-AB9AAF14B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B357CBB6-47F5-4405-A7EB-C1FDDB90F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46FA0AE-2F21-4F45-819C-A53ACCC90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DAA57296-4F84-4D8F-8895-21A884431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C0EBC997-BB05-4E0B-9011-651F01BF7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F102E6EC-CA63-462B-9007-814A41F7A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09F5F741-BD22-4891-B10B-E9F5D03B5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1B27495-CC32-4B5F-AE00-1E99F9ECA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E180873C-41F9-4A6A-98F3-13572CAA8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68A1495B-FC96-49C7-9AED-E6ED8AEDB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C25080F8-52BB-489A-B6F3-7534AAFD2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6C5A5B88-7ED7-4DCB-B915-4FAA1FDDC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0EC1DD0B-5C72-4916-8CBD-4A4C3BF14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2141DD5B-48BE-4A49-8186-F892E2C88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FAFF7046-6136-4448-8D7E-A40938C94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95A85593-A889-40AF-A7CB-6E55E44E3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6CCCD497-EA7F-4F98-AF46-D4461D793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C201C6BD-7E64-4E2D-809E-E65510C02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F5FF37E6-3E4E-454C-9D39-DA81807FA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82373E5-9D1F-4CC2-80AA-2141073C8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00881756-4CBC-4CEF-B0A8-232B88E37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32D50729-7A38-4B0A-A62F-7E5301484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93E35C4F-B3CB-4ADE-B3AF-5C85E4605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61DA8E4F-3507-45FB-95B4-A1AB0042D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43D05965-9BE3-4FD4-AB3F-98ABD12B7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320E7AA0-C0B9-465C-92DA-947D30963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F6BB2541-35BE-468D-8038-70A4F7F01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4E52D78E-A96F-46AB-8476-F02F1BD73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3BDD60C9-CD8F-440A-B39A-1F454DB98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B9944D16-72F4-45A9-826C-375605F76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44F58129-AA39-4627-A0EE-0FD4959F0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24BB93E1-205E-4021-8A48-640E43BFA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8B1B0BFF-A5F8-4045-9282-6A116C86B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A44DD78A-F686-45C7-9868-8E154DB19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9B34DD4-99BC-404A-9E5B-6D04C509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E3161780-2E0B-4FD7-9A99-46E0E21B5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FC1CA89-0D64-4C58-A861-05A995094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0221BC03-5802-4ED7-8E50-88F767364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593C8B5-E1F0-4E4A-AB72-8AC90C2A3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D8E9092D-5440-44A2-A0C3-262795187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C030D007-BF26-40FC-9794-4A8B9824A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62E0C4BB-9382-4F94-B124-8AD949781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F8FF5F77-2F63-4A8D-A7E3-1362276CC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3CA88953-A51E-434F-9899-8CB4CE39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BA08F0CA-5133-47CB-910F-16194BEE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E4C4017-EEC6-4CA1-8EFB-BD967D898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8C4C8816-234A-4848-977C-77AACAFD7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14F01A9-4D32-4915-980F-19A4EB983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A32A07C0-1F9C-4A36-802B-AEBC2D565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42F69F35-8C8D-46B4-9A7B-BC9889ABC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6640AC96-33BD-4DB7-965E-87A22A5C8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D76184FD-A462-4F68-9A95-D14C906B3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399ADC01-0E22-4B7F-B9D1-4C58810FF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573B687-ADC6-4420-A8B3-60EBDCF37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F564A6D1-01BA-4F31-9EAA-4BF06F018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19B6F9FC-EA3E-48D1-9F9F-FA41B88F1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A085F006-EEEE-426A-BF26-D89660B97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90A814E-6C8F-4203-AFEF-79287BDBC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30F10F37-31F0-4250-A9F1-A1476233E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0147A463-3008-42AC-ACC8-727C4CB0F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B8270CC-7705-49A3-AFC7-03C304DD2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3A377E40-070F-4557-BDE8-0308FDD7E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9EDBB32-A2DD-4B68-A93F-D2B35A071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3DF14F9D-2C9C-44E8-A297-11932D558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DE3EDF1C-E443-4F7A-A728-7FBFB0DEB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442175C4-A272-4EF3-A756-722141B87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B2F1AFBE-C5DC-453A-9940-9C4CD8903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DF99A624-46EB-4709-B56D-8749E408C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36AFE479-B7C2-422A-BFD5-C2538ED77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0B8EA319-3F51-4867-A9BC-A5B1E8B70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A218A44F-6472-4ACA-B576-7D0AD878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053E07BB-1C2E-49B0-BB2A-587D5D97D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97418F90-5507-41DA-8DBE-7BE9A54C1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5C1AA0E6-EBB6-4DA5-9134-C8B9B029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B0D45D9A-F6F0-44D3-ADF9-F6B6A5D19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xdr:colOff>
      <xdr:row>48</xdr:row>
      <xdr:rowOff>31749</xdr:rowOff>
    </xdr:from>
    <xdr:to>
      <xdr:col>4</xdr:col>
      <xdr:colOff>4612</xdr:colOff>
      <xdr:row>61</xdr:row>
      <xdr:rowOff>57249</xdr:rowOff>
    </xdr:to>
    <xdr:graphicFrame macro="">
      <xdr:nvGraphicFramePr>
        <xdr:cNvPr id="2" name="Chart 1" descr="Chart showing landings per kW day at sea over time">
          <a:extLst>
            <a:ext uri="{FF2B5EF4-FFF2-40B4-BE49-F238E27FC236}">
              <a16:creationId xmlns:a16="http://schemas.microsoft.com/office/drawing/2014/main" id="{73B73AB4-C201-4EC3-8A9A-542F4AEA1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48</xdr:row>
      <xdr:rowOff>31749</xdr:rowOff>
    </xdr:from>
    <xdr:to>
      <xdr:col>9</xdr:col>
      <xdr:colOff>382041</xdr:colOff>
      <xdr:row>61</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8A68ED11-5C8F-4FC6-89FE-5EE561668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48</xdr:row>
      <xdr:rowOff>31749</xdr:rowOff>
    </xdr:from>
    <xdr:to>
      <xdr:col>15</xdr:col>
      <xdr:colOff>759470</xdr:colOff>
      <xdr:row>61</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2457AD4D-02F9-48BF-8A2F-CFF31F67D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61</xdr:row>
      <xdr:rowOff>113108</xdr:rowOff>
    </xdr:from>
    <xdr:to>
      <xdr:col>4</xdr:col>
      <xdr:colOff>4612</xdr:colOff>
      <xdr:row>74</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AEF50AF5-5A1E-4593-8D05-1E22F786E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61</xdr:row>
      <xdr:rowOff>113108</xdr:rowOff>
    </xdr:from>
    <xdr:to>
      <xdr:col>9</xdr:col>
      <xdr:colOff>382041</xdr:colOff>
      <xdr:row>74</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2D8D12C7-6F29-4D4D-A63B-5BA953F16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61</xdr:row>
      <xdr:rowOff>113108</xdr:rowOff>
    </xdr:from>
    <xdr:to>
      <xdr:col>15</xdr:col>
      <xdr:colOff>759470</xdr:colOff>
      <xdr:row>74</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452E8D66-0552-47D2-8964-C225BC0F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75</xdr:row>
      <xdr:rowOff>22225</xdr:rowOff>
    </xdr:from>
    <xdr:to>
      <xdr:col>4</xdr:col>
      <xdr:colOff>4612</xdr:colOff>
      <xdr:row>88</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C6AFB9F-955F-4B05-AF22-06BF36B94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75</xdr:row>
      <xdr:rowOff>22225</xdr:rowOff>
    </xdr:from>
    <xdr:to>
      <xdr:col>9</xdr:col>
      <xdr:colOff>382041</xdr:colOff>
      <xdr:row>88</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90B5F6D6-EAF4-43C6-BD9D-D18DACE57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75</xdr:row>
      <xdr:rowOff>22225</xdr:rowOff>
    </xdr:from>
    <xdr:to>
      <xdr:col>15</xdr:col>
      <xdr:colOff>759470</xdr:colOff>
      <xdr:row>88</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971643E7-9E52-46D0-826C-FFD24726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116</xdr:row>
      <xdr:rowOff>83607</xdr:rowOff>
    </xdr:from>
    <xdr:to>
      <xdr:col>15</xdr:col>
      <xdr:colOff>613833</xdr:colOff>
      <xdr:row>126</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11CDB44-7D36-490D-81DB-BFD462828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126</xdr:row>
      <xdr:rowOff>140824</xdr:rowOff>
    </xdr:from>
    <xdr:to>
      <xdr:col>15</xdr:col>
      <xdr:colOff>613833</xdr:colOff>
      <xdr:row>137</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5FEF8645-D2BA-47D9-8A1D-DAF9A739D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137</xdr:row>
      <xdr:rowOff>227237</xdr:rowOff>
    </xdr:from>
    <xdr:to>
      <xdr:col>15</xdr:col>
      <xdr:colOff>613833</xdr:colOff>
      <xdr:row>151</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BCF91E2-1458-448B-BC56-0B8C22325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Mac/Mac/Mac/Departments/Economics/CONFIDENTIAL/EU%20Data%20Collection/Fleet%202014/04%20Reporting/Seafish/Time%20Series%202006-15%20(Excel)/Latest%20Version/Multi%20annual%20tables%20-%20seb%20v5.4%20SLedits%20180316.xlsm?78658EBE" TargetMode="External"/><Relationship Id="rId1" Type="http://schemas.openxmlformats.org/officeDocument/2006/relationships/externalLinkPath" Target="file:///\\78658EBE\Multi%20annual%20tables%20-%20seb%20v5.4%20SLedits%201803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ummary"/>
      <sheetName val="Segment tables to be exported"/>
      <sheetName val="Segment tables"/>
      <sheetName val="Summary data for export"/>
      <sheetName val="Landings tables"/>
      <sheetName val="Notes for export"/>
      <sheetName val="Highlights for export"/>
      <sheetName val="Segmentation Criteria export"/>
      <sheetName val="Sample size to be exported"/>
      <sheetName val="Op profit margin for export"/>
      <sheetName val="Net profit margin for export"/>
      <sheetName val="Segmentation"/>
      <sheetName val="Sample size"/>
      <sheetName val="Evol turnover"/>
      <sheetName val="Evol op profit"/>
      <sheetName val="Evol net profit"/>
      <sheetName val="Fuel cons per tonne landed"/>
      <sheetName val="Fuel cost per pound landed"/>
      <sheetName val="Multi_annual_results_average"/>
      <sheetName val="Multi_annual_results_sum"/>
      <sheetName val="Top_10_species"/>
      <sheetName val="Multi annual employment"/>
      <sheetName val="Mutli_annual_average_quartile"/>
      <sheetName val="Multi_annual_sum_quartile"/>
      <sheetName val="Top 10 species quartile"/>
      <sheetName val="Species names"/>
      <sheetName val="Export r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rgbClr val="191B1B"/>
      </a:dk1>
      <a:lt1>
        <a:srgbClr val="FFFFFF"/>
      </a:lt1>
      <a:dk2>
        <a:srgbClr val="004979"/>
      </a:dk2>
      <a:lt2>
        <a:srgbClr val="FFFFFF"/>
      </a:lt2>
      <a:accent1>
        <a:srgbClr val="0077C8"/>
      </a:accent1>
      <a:accent2>
        <a:srgbClr val="FECC0C"/>
      </a:accent2>
      <a:accent3>
        <a:srgbClr val="009CA6"/>
      </a:accent3>
      <a:accent4>
        <a:srgbClr val="ED6C05"/>
      </a:accent4>
      <a:accent5>
        <a:srgbClr val="00A0D6"/>
      </a:accent5>
      <a:accent6>
        <a:srgbClr val="B6C30C"/>
      </a:accent6>
      <a:hlink>
        <a:srgbClr val="0077C8"/>
      </a:hlink>
      <a:folHlink>
        <a:srgbClr val="E3002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45302-2875-4AAF-A45B-5BD66A706F0E}">
  <sheetPr codeName="Feuil4"/>
  <dimension ref="A1:B42"/>
  <sheetViews>
    <sheetView workbookViewId="0"/>
  </sheetViews>
  <sheetFormatPr defaultColWidth="8.625" defaultRowHeight="12.6"/>
  <cols>
    <col min="1" max="1" width="4.125" style="2" customWidth="1"/>
    <col min="2" max="2" width="81.625" style="2" customWidth="1"/>
    <col min="3" max="16384" width="8.625" style="2"/>
  </cols>
  <sheetData>
    <row r="1" spans="1:2" ht="18">
      <c r="A1" s="1" t="s">
        <v>0</v>
      </c>
    </row>
    <row r="3" spans="1:2" ht="12.95">
      <c r="B3" s="19" t="s">
        <v>1</v>
      </c>
    </row>
    <row r="4" spans="1:2" ht="12.95">
      <c r="B4" s="19" t="s">
        <v>2</v>
      </c>
    </row>
    <row r="5" spans="1:2" ht="12.95">
      <c r="B5" s="19" t="s">
        <v>3</v>
      </c>
    </row>
    <row r="6" spans="1:2" ht="12.95">
      <c r="B6" s="19" t="s">
        <v>4</v>
      </c>
    </row>
    <row r="7" spans="1:2" ht="12.95">
      <c r="B7" s="19" t="s">
        <v>5</v>
      </c>
    </row>
    <row r="8" spans="1:2" ht="12.95">
      <c r="B8" s="19" t="s">
        <v>6</v>
      </c>
    </row>
    <row r="9" spans="1:2" ht="12.95">
      <c r="B9" s="131" t="s">
        <v>7</v>
      </c>
    </row>
    <row r="10" spans="1:2" ht="12.95">
      <c r="B10" s="19" t="s">
        <v>8</v>
      </c>
    </row>
    <row r="11" spans="1:2" ht="12.95">
      <c r="B11" s="3"/>
    </row>
    <row r="12" spans="1:2" ht="12.95">
      <c r="B12" s="4" t="s">
        <v>9</v>
      </c>
    </row>
    <row r="13" spans="1:2" ht="12.95">
      <c r="B13" s="114" t="s">
        <v>10</v>
      </c>
    </row>
    <row r="14" spans="1:2" ht="12.95">
      <c r="B14" s="114" t="s">
        <v>11</v>
      </c>
    </row>
    <row r="15" spans="1:2" ht="12.95">
      <c r="B15" s="114" t="s">
        <v>12</v>
      </c>
    </row>
    <row r="16" spans="1:2" ht="12.95">
      <c r="B16" s="114" t="s">
        <v>13</v>
      </c>
    </row>
    <row r="17" spans="2:2" ht="12.95">
      <c r="B17" s="114" t="s">
        <v>14</v>
      </c>
    </row>
    <row r="18" spans="2:2" ht="12.95">
      <c r="B18" s="114" t="s">
        <v>15</v>
      </c>
    </row>
    <row r="19" spans="2:2" ht="12.95">
      <c r="B19" s="114" t="s">
        <v>16</v>
      </c>
    </row>
    <row r="20" spans="2:2" ht="12.95">
      <c r="B20" s="114" t="s">
        <v>17</v>
      </c>
    </row>
    <row r="21" spans="2:2" ht="12.95">
      <c r="B21" s="114" t="s">
        <v>18</v>
      </c>
    </row>
    <row r="22" spans="2:2" ht="12.95">
      <c r="B22" s="114" t="s">
        <v>19</v>
      </c>
    </row>
    <row r="23" spans="2:2" ht="12.95">
      <c r="B23" s="114" t="s">
        <v>20</v>
      </c>
    </row>
    <row r="24" spans="2:2" ht="12.95">
      <c r="B24" s="114" t="s">
        <v>21</v>
      </c>
    </row>
    <row r="25" spans="2:2" ht="12.95">
      <c r="B25" s="114" t="s">
        <v>22</v>
      </c>
    </row>
    <row r="26" spans="2:2" ht="12.95">
      <c r="B26" s="114" t="s">
        <v>23</v>
      </c>
    </row>
    <row r="27" spans="2:2" ht="12.95">
      <c r="B27" s="114" t="s">
        <v>24</v>
      </c>
    </row>
    <row r="28" spans="2:2" ht="12.95">
      <c r="B28" s="114" t="s">
        <v>25</v>
      </c>
    </row>
    <row r="29" spans="2:2" ht="12.95">
      <c r="B29" s="114" t="s">
        <v>26</v>
      </c>
    </row>
    <row r="30" spans="2:2" ht="12.95">
      <c r="B30" s="114" t="s">
        <v>27</v>
      </c>
    </row>
    <row r="31" spans="2:2" ht="12.95">
      <c r="B31" s="114" t="s">
        <v>28</v>
      </c>
    </row>
    <row r="32" spans="2:2" ht="12.95">
      <c r="B32" s="114" t="s">
        <v>29</v>
      </c>
    </row>
    <row r="33" spans="2:2" ht="12.95">
      <c r="B33" s="114" t="s">
        <v>30</v>
      </c>
    </row>
    <row r="34" spans="2:2" ht="12.95">
      <c r="B34" s="114" t="s">
        <v>31</v>
      </c>
    </row>
    <row r="35" spans="2:2" ht="12.95">
      <c r="B35" s="114" t="s">
        <v>32</v>
      </c>
    </row>
    <row r="36" spans="2:2" ht="12.95">
      <c r="B36" s="114" t="s">
        <v>33</v>
      </c>
    </row>
    <row r="37" spans="2:2" ht="12.95">
      <c r="B37" s="114" t="s">
        <v>34</v>
      </c>
    </row>
    <row r="38" spans="2:2" ht="12.95">
      <c r="B38" s="114" t="s">
        <v>35</v>
      </c>
    </row>
    <row r="39" spans="2:2" ht="12.95">
      <c r="B39" s="114" t="s">
        <v>36</v>
      </c>
    </row>
    <row r="40" spans="2:2" ht="12.95">
      <c r="B40" s="114" t="s">
        <v>37</v>
      </c>
    </row>
    <row r="41" spans="2:2" ht="12.95">
      <c r="B41" s="114" t="s">
        <v>38</v>
      </c>
    </row>
    <row r="42" spans="2:2" ht="12.95">
      <c r="B42" s="114" t="s">
        <v>39</v>
      </c>
    </row>
  </sheetData>
  <hyperlinks>
    <hyperlink ref="B6" location="Summary_projection" display="Summary 2022" xr:uid="{2AB02BD7-986A-4786-B1BE-040E42B2F5D4}"/>
    <hyperlink ref="B5" location="Summary_last" display="Summary 2021" xr:uid="{E1C8CE97-D0F7-4884-86E9-5BFBB63ECF52}"/>
    <hyperlink ref="B13" location="Area_VIIa_demersal_trawl" display="Area VIIA demersal trawl" xr:uid="{DAF530FB-93FA-4459-BAA9-5225BE91ACC5}"/>
    <hyperlink ref="B14" location="Area_VIIa_nephrops_o250kW" display="Area VIIA nephrops over 250kW" xr:uid="{39543230-B812-41D3-A997-9D0A9605875B}"/>
    <hyperlink ref="B15" location="Area_VIIa_nephrops_u250kW" display="Area VIIA nephrops under 250kW" xr:uid="{DED38F72-EE21-4D7E-9089-5D204191DE92}"/>
    <hyperlink ref="B16" location="Area_VIIb_k_trawlers_24_40m" display="Area VIIBCDEFGHK 24-40m" xr:uid="{47C45317-B942-42EF-852A-BFB1E9616DE2}"/>
    <hyperlink ref="B17" location="Area_VIIb_k_trawlers_10_24m" display="Area VIIBCDEFGHK trawlers 10-24m" xr:uid="{7E078F28-97F0-44A3-852A-8846474833B5}"/>
    <hyperlink ref="B18" location="Gill_netters" display="Gill netters" xr:uid="{2BA02606-F4DF-4A5F-9A72-1AAC364509CD}"/>
    <hyperlink ref="B19" location="Longliners" display="Longliners" xr:uid="{6127C30C-6335-4C30-AD35-38F822620C5C}"/>
    <hyperlink ref="B20" location="Low_activity_over_10m" display="Low activity over 10m" xr:uid="{55E5A6AC-A00A-401F-8FEB-9C0872C81EFA}"/>
    <hyperlink ref="B21" location="Low_activity_under_10m" display="Low activity under 10m" xr:uid="{0A7A9AD1-B060-4DBE-8C7D-858DE70762E8}"/>
    <hyperlink ref="B22" location="NS_beam_trawl_over_300kW" display="North Sea beam trawl over 300kW" xr:uid="{11AD1D72-8C11-48FD-9F91-A5C00CAD1F49}"/>
    <hyperlink ref="B23" location="NS_beam_trawl_under_300kW" display="North Sea beam trawl under 300kW" xr:uid="{23C136E3-ADAB-44D3-B2DD-BA347E4D567C}"/>
    <hyperlink ref="B24" location="NS_nephrops_over_300kW" display="North Sea nephrops over 300kW" xr:uid="{D5854D9B-D9AE-4A79-A332-A3BACBDA8C80}"/>
    <hyperlink ref="B25" location="NS_nephrops_under_300kW" display="North Sea nephrops under 300kW" xr:uid="{9DB859D0-1FC8-4332-8DF5-1568244FA6CD}"/>
    <hyperlink ref="B26" location="NSWOS_demersal_over_24m" display="NSWOS demersal over 24m" xr:uid="{6B760C6E-B08F-48E6-A742-6C260C051008}"/>
    <hyperlink ref="B27" location="NSWOS_dem_pair_trawl_seine" display="NSWOS demersal pair trawl seine" xr:uid="{0AB77628-8F49-4B9B-A72C-37C7897095C3}"/>
    <hyperlink ref="B28" location="NSWOS_demersal_seiners" display="NSWOS demersal seiners" xr:uid="{D174309B-FD30-4607-9902-2EA05ED63E49}"/>
    <hyperlink ref="B29" location="NSWOS_demersal_u24m_o300kW" display="NSWOS demersal under 24m over 300kW" xr:uid="{0410725D-8624-4AAD-9FA6-C5B70FFE42A7}"/>
    <hyperlink ref="B30" location="NSWOS_demersal_u24m_u300kW" display="NSWOS demersal under 24m under 300kW" xr:uid="{387490A6-87D0-43AB-BBA5-F3645C564054}"/>
    <hyperlink ref="B31" location="Pots_and_traps_10_12m" display="Pots and traps 10-12m" xr:uid="{6C828134-3A4B-4E4D-9823-5F08761C1F3C}"/>
    <hyperlink ref="B32" location="Pots_and_traps_over_12m" display="Pots and traps over 12m" xr:uid="{77E3945E-E198-489E-8932-FB8A95AC3524}"/>
    <hyperlink ref="B33" location="South_West_beamers_o250kW" display="South West beamers over 250kW" xr:uid="{D2945A63-FFBE-4FF6-B6A1-2C11641C8273}"/>
    <hyperlink ref="B34" location="South_West_beamers_u250kW" display="South West beamers under 250kW" xr:uid="{BB8E41BE-84BB-4F18-ABB4-9F81A1913ABE}"/>
    <hyperlink ref="B35" location="UK_scallop_dredge_over_15m" display="UK scallop dredge over 15m" xr:uid="{B93CAA90-F30E-4CB8-AB89-16AD641A0DDA}"/>
    <hyperlink ref="B36" location="UK_scallop_dredge_under_15m" display="UK scallop dredge under 15m" xr:uid="{48D9C578-35D7-492E-90F0-9F707EC2CD2D}"/>
    <hyperlink ref="B37" location="U10m_demersal_trawl_seine" display="Under 10m demersal trawl/seine" xr:uid="{7CDA676C-53E5-4FA4-B8C7-BDED2BFFC0E9}"/>
    <hyperlink ref="B38" location="U10m_drift_fixed_nets" display="Under 10m drift and/or fixed nets" xr:uid="{0CB05124-0048-45DA-866C-DFD2D26CD5E2}"/>
    <hyperlink ref="B39" location="U10m_pots_and_traps" display="Under 10m pots and traps" xr:uid="{EA2449D2-5774-4512-9794-838CC5495FA3}"/>
    <hyperlink ref="B40" location="U10m_using_hooks" display="Under 10m using hooks" xr:uid="{FDEDE3BE-4C66-44F2-8B40-6DADF24A7F55}"/>
    <hyperlink ref="B41" location="WOS_nephrops_over_250kW" display="WOS nephrops over 250kW" xr:uid="{08C0A3E0-1068-4771-9C6E-A425386A7E15}"/>
    <hyperlink ref="B42" location="WOS_nephrops_under_250kW" display="WOS nephrops under 250kW" xr:uid="{C4BCA961-9D92-4B42-8D1A-2D89C5A1863A}"/>
    <hyperlink ref="B10" location="Net_profit_margin" display="Net profit margin" xr:uid="{DCA15FDA-23B9-40DD-B744-9E5CE2ADCF4B}"/>
    <hyperlink ref="B9" location="Operating_profit_margin" display="Operating profit margin" xr:uid="{CE4E6F41-8C60-42B5-B911-FBAD56655100}"/>
    <hyperlink ref="B8" location="Sample_rates" display="Sample rates" xr:uid="{B46732BF-586D-4811-A5A6-31582F1A2E89}"/>
    <hyperlink ref="B7" location="Segmentation_Criteria" display="Segmentation Criteria" xr:uid="{67DDFD99-473A-4612-81E8-C4461A44FB8D}"/>
    <hyperlink ref="B4" location="Highlights" display="Highlights" xr:uid="{B4F6ED04-F250-4CBB-BE51-B55F965B7464}"/>
    <hyperlink ref="B3" location="Notes" display="Notes" xr:uid="{0E8AE991-BB95-4D47-A538-1F8F564BB9B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70F3A-5605-41B2-8A7B-149679D9DFB8}">
  <sheetPr codeName="Feuil9">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13</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15</v>
      </c>
      <c r="E3" s="28">
        <v>13</v>
      </c>
      <c r="F3" s="28">
        <v>12</v>
      </c>
      <c r="G3" s="28">
        <v>13</v>
      </c>
      <c r="H3" s="28">
        <v>11</v>
      </c>
      <c r="I3" s="28">
        <v>13</v>
      </c>
      <c r="J3" s="28">
        <v>14</v>
      </c>
      <c r="K3" s="28">
        <v>14</v>
      </c>
      <c r="L3" s="28">
        <v>13</v>
      </c>
      <c r="M3" s="28">
        <v>12</v>
      </c>
      <c r="N3" s="28">
        <v>14</v>
      </c>
      <c r="O3" s="29">
        <f t="shared" ref="O3:O42" si="0">IF(N3=0,"",IFERROR(IF(AND(N3&gt;0,D3&lt;0),"na",IF(AND(N3&lt;0,D3&lt;0),-1,1)*(N3-D3)/D3),""))</f>
        <v>-6.6666666666666666E-2</v>
      </c>
      <c r="P3" s="29">
        <f t="shared" ref="P3:P42" si="1">IF(N3=0,"",IFERROR(IF(AND(N3&gt;0,J3&lt;0),"na",IF(AND(N3&lt;0,J3&lt;0),-1,1)*(N3-J3)/J3),""))</f>
        <v>0</v>
      </c>
    </row>
    <row r="4" spans="1:17" ht="18" customHeight="1">
      <c r="A4" s="185"/>
      <c r="B4" s="30" t="s">
        <v>190</v>
      </c>
      <c r="C4" s="31"/>
      <c r="D4" s="31">
        <v>9622</v>
      </c>
      <c r="E4" s="31">
        <v>8015</v>
      </c>
      <c r="F4" s="31">
        <v>7276</v>
      </c>
      <c r="G4" s="31">
        <v>7913</v>
      </c>
      <c r="H4" s="31">
        <v>6835</v>
      </c>
      <c r="I4" s="31">
        <v>7969</v>
      </c>
      <c r="J4" s="31">
        <v>9405</v>
      </c>
      <c r="K4" s="31">
        <v>8971</v>
      </c>
      <c r="L4" s="31">
        <v>7914</v>
      </c>
      <c r="M4" s="31">
        <v>7165</v>
      </c>
      <c r="N4" s="31">
        <v>8834</v>
      </c>
      <c r="O4" s="29">
        <f t="shared" si="0"/>
        <v>-8.1895655788817287E-2</v>
      </c>
      <c r="P4" s="29">
        <f t="shared" si="1"/>
        <v>-6.0712387028176502E-2</v>
      </c>
    </row>
    <row r="5" spans="1:17" ht="18" customHeight="1">
      <c r="A5" s="185"/>
      <c r="B5" s="30" t="s">
        <v>191</v>
      </c>
      <c r="C5" s="31"/>
      <c r="D5" s="31">
        <v>4765</v>
      </c>
      <c r="E5" s="31">
        <v>4068</v>
      </c>
      <c r="F5" s="31">
        <v>3834</v>
      </c>
      <c r="G5" s="31">
        <v>3881</v>
      </c>
      <c r="H5" s="31">
        <v>3394</v>
      </c>
      <c r="I5" s="31">
        <v>3579</v>
      </c>
      <c r="J5" s="31">
        <v>4356</v>
      </c>
      <c r="K5" s="31">
        <v>4227</v>
      </c>
      <c r="L5" s="31">
        <v>3733</v>
      </c>
      <c r="M5" s="31">
        <v>3500</v>
      </c>
      <c r="N5" s="31">
        <v>4198</v>
      </c>
      <c r="O5" s="29">
        <f t="shared" si="0"/>
        <v>-0.11899265477439665</v>
      </c>
      <c r="P5" s="29">
        <f t="shared" si="1"/>
        <v>-3.627180899908173E-2</v>
      </c>
      <c r="Q5" s="32"/>
    </row>
    <row r="6" spans="1:17" ht="18" customHeight="1">
      <c r="A6" s="185"/>
      <c r="B6" s="30" t="s">
        <v>192</v>
      </c>
      <c r="C6" s="31"/>
      <c r="D6" s="31">
        <v>8955.236328125</v>
      </c>
      <c r="E6" s="31">
        <v>7339.24658203125</v>
      </c>
      <c r="F6" s="31">
        <v>6894.904296875</v>
      </c>
      <c r="G6" s="31">
        <v>6922.0244140625</v>
      </c>
      <c r="H6" s="31">
        <v>6016.81787109375</v>
      </c>
      <c r="I6" s="31">
        <v>6719.5947265625</v>
      </c>
      <c r="J6" s="31">
        <v>7946.328125</v>
      </c>
      <c r="K6" s="31">
        <v>7595.21826171875</v>
      </c>
      <c r="L6" s="31">
        <v>6760.55810546875</v>
      </c>
      <c r="M6" s="31">
        <v>6211.09326171875</v>
      </c>
      <c r="N6" s="31">
        <v>7467.89501953125</v>
      </c>
      <c r="O6" s="29">
        <f t="shared" si="0"/>
        <v>-0.16608621527078801</v>
      </c>
      <c r="P6" s="29">
        <f t="shared" si="1"/>
        <v>-6.0208073205981538E-2</v>
      </c>
    </row>
    <row r="7" spans="1:17" ht="18" customHeight="1">
      <c r="A7" s="185"/>
      <c r="B7" s="30" t="s">
        <v>193</v>
      </c>
      <c r="C7" s="31"/>
      <c r="D7" s="31">
        <v>8893.0068359375</v>
      </c>
      <c r="E7" s="31">
        <v>6835.6767578125</v>
      </c>
      <c r="F7" s="31">
        <v>7683.697265625</v>
      </c>
      <c r="G7" s="31">
        <v>7957.62548828125</v>
      </c>
      <c r="H7" s="31">
        <v>6315.34375</v>
      </c>
      <c r="I7" s="31">
        <v>6035.65234375</v>
      </c>
      <c r="J7" s="31">
        <v>6892.85205078125</v>
      </c>
      <c r="K7" s="31">
        <v>6329.7587890625</v>
      </c>
      <c r="L7" s="31">
        <v>6324.25390625</v>
      </c>
      <c r="M7" s="31">
        <v>6336.6708984375</v>
      </c>
      <c r="N7" s="31">
        <v>6860.22021484375</v>
      </c>
      <c r="O7" s="29">
        <f t="shared" si="0"/>
        <v>-0.22858259963087657</v>
      </c>
      <c r="P7" s="29">
        <f t="shared" si="1"/>
        <v>-4.7341558613319488E-3</v>
      </c>
    </row>
    <row r="8" spans="1:17" ht="18" customHeight="1">
      <c r="A8" s="185"/>
      <c r="B8" s="30" t="s">
        <v>194</v>
      </c>
      <c r="C8" s="33"/>
      <c r="D8" s="33">
        <f ca="1">28.521384*OFFSET(D$113,MATCH($N$1,$C$113:$C$114,0)-1,0)</f>
        <v>28.521384000000001</v>
      </c>
      <c r="E8" s="33">
        <f ca="1">20.642018*OFFSET(E$113,MATCH($N$1,$C$113:$C$114,0)-1,0)</f>
        <v>20.642018</v>
      </c>
      <c r="F8" s="33">
        <f ca="1">25.324648*OFFSET(F$113,MATCH($N$1,$C$113:$C$114,0)-1,0)</f>
        <v>25.324648</v>
      </c>
      <c r="G8" s="33">
        <f ca="1">25.228648*OFFSET(G$113,MATCH($N$1,$C$113:$C$114,0)-1,0)</f>
        <v>25.228648</v>
      </c>
      <c r="H8" s="33">
        <f ca="1">23.622444*OFFSET(H$113,MATCH($N$1,$C$113:$C$114,0)-1,0)</f>
        <v>23.622444000000002</v>
      </c>
      <c r="I8" s="33">
        <f ca="1">21.65504*OFFSET(I$113,MATCH($N$1,$C$113:$C$114,0)-1,0)</f>
        <v>21.65504</v>
      </c>
      <c r="J8" s="33">
        <f ca="1">24.896308*OFFSET(J$113,MATCH($N$1,$C$113:$C$114,0)-1,0)</f>
        <v>24.896308000000001</v>
      </c>
      <c r="K8" s="33">
        <f ca="1">19.489236*OFFSET(K$113,MATCH($N$1,$C$113:$C$114,0)-1,0)</f>
        <v>19.489235999999998</v>
      </c>
      <c r="L8" s="33">
        <f ca="1">16.370273*OFFSET(L$113,MATCH($N$1,$C$113:$C$114,0)-1,0)</f>
        <v>16.370273000000001</v>
      </c>
      <c r="M8" s="33">
        <f ca="1">17.823028*OFFSET(M$113,MATCH($N$1,$C$113:$C$114,0)-1,0)</f>
        <v>17.823028000000001</v>
      </c>
      <c r="N8" s="33">
        <v>21.212955999999998</v>
      </c>
      <c r="O8" s="29">
        <f t="shared" ca="1" si="0"/>
        <v>-0.25624380640154076</v>
      </c>
      <c r="P8" s="29">
        <f t="shared" ca="1" si="1"/>
        <v>-0.14794771979845375</v>
      </c>
    </row>
    <row r="9" spans="1:17" ht="18" customHeight="1">
      <c r="A9" s="185"/>
      <c r="B9" s="30" t="s">
        <v>195</v>
      </c>
      <c r="C9" s="31"/>
      <c r="D9" s="31">
        <v>4082</v>
      </c>
      <c r="E9" s="31">
        <v>3306</v>
      </c>
      <c r="F9" s="31">
        <v>3455</v>
      </c>
      <c r="G9" s="31">
        <v>3599</v>
      </c>
      <c r="H9" s="31">
        <v>3178</v>
      </c>
      <c r="I9" s="31">
        <v>3293</v>
      </c>
      <c r="J9" s="31">
        <v>3249</v>
      </c>
      <c r="K9" s="31">
        <v>3136</v>
      </c>
      <c r="L9" s="31">
        <v>3348</v>
      </c>
      <c r="M9" s="31">
        <v>3361</v>
      </c>
      <c r="N9" s="31">
        <v>3351</v>
      </c>
      <c r="O9" s="29">
        <f t="shared" si="0"/>
        <v>-0.17907888290053894</v>
      </c>
      <c r="P9" s="29">
        <f t="shared" si="1"/>
        <v>3.139427516158818E-2</v>
      </c>
    </row>
    <row r="10" spans="1:17" ht="18" customHeight="1">
      <c r="A10" s="185"/>
      <c r="B10" s="30" t="s">
        <v>196</v>
      </c>
      <c r="C10" s="31"/>
      <c r="D10" s="31">
        <v>10551</v>
      </c>
      <c r="E10" s="31">
        <v>8091</v>
      </c>
      <c r="F10" s="31">
        <v>8760.5</v>
      </c>
      <c r="G10" s="31">
        <v>8804</v>
      </c>
      <c r="H10" s="31">
        <v>7751</v>
      </c>
      <c r="I10" s="31">
        <v>7679</v>
      </c>
      <c r="J10" s="31">
        <v>7881.5</v>
      </c>
      <c r="K10" s="31">
        <v>7370</v>
      </c>
      <c r="L10" s="31">
        <v>7766</v>
      </c>
      <c r="M10" s="31">
        <v>7739</v>
      </c>
      <c r="N10" s="31">
        <v>7970</v>
      </c>
      <c r="O10" s="29">
        <f t="shared" si="0"/>
        <v>-0.24462136290399014</v>
      </c>
      <c r="P10" s="29">
        <f t="shared" si="1"/>
        <v>1.122882699993656E-2</v>
      </c>
    </row>
    <row r="11" spans="1:17" ht="18" customHeight="1">
      <c r="A11" s="185"/>
      <c r="B11" s="30" t="s">
        <v>197</v>
      </c>
      <c r="C11" s="31"/>
      <c r="D11" s="31">
        <v>297.11907958984375</v>
      </c>
      <c r="E11" s="31">
        <v>240.93534851074219</v>
      </c>
      <c r="F11" s="31">
        <v>250.63856506347656</v>
      </c>
      <c r="G11" s="31">
        <v>249.15255737304688</v>
      </c>
      <c r="H11" s="31">
        <v>228.9281005859375</v>
      </c>
      <c r="I11" s="31">
        <v>222.78080749511719</v>
      </c>
      <c r="J11" s="31">
        <v>227.9759521484375</v>
      </c>
      <c r="K11" s="31">
        <v>212.34439086914063</v>
      </c>
      <c r="L11" s="31">
        <v>188.09719848632813</v>
      </c>
      <c r="M11" s="31">
        <v>218.00845336914063</v>
      </c>
      <c r="N11" s="31">
        <v>215.74273681640625</v>
      </c>
      <c r="O11" s="34">
        <f t="shared" si="0"/>
        <v>-0.27388460843973056</v>
      </c>
      <c r="P11" s="34">
        <f t="shared" si="1"/>
        <v>-5.3660112905531708E-2</v>
      </c>
    </row>
    <row r="12" spans="1:17" ht="18" customHeight="1">
      <c r="A12" s="186" t="s">
        <v>198</v>
      </c>
      <c r="B12" s="35" t="s">
        <v>199</v>
      </c>
      <c r="C12" s="36"/>
      <c r="D12" s="36">
        <v>33.471332550048828</v>
      </c>
      <c r="E12" s="36">
        <v>33.782306671142578</v>
      </c>
      <c r="F12" s="36">
        <v>33.849166870117188</v>
      </c>
      <c r="G12" s="36">
        <v>32.664615631103516</v>
      </c>
      <c r="H12" s="36">
        <v>33.762725830078125</v>
      </c>
      <c r="I12" s="36">
        <v>31.341537475585938</v>
      </c>
      <c r="J12" s="36">
        <v>32.800712585449219</v>
      </c>
      <c r="K12" s="36">
        <v>31.847143173217773</v>
      </c>
      <c r="L12" s="36">
        <v>31.394615173339844</v>
      </c>
      <c r="M12" s="36">
        <v>31.928333282470703</v>
      </c>
      <c r="N12" s="36">
        <v>31.681428909301758</v>
      </c>
      <c r="O12" s="29">
        <f t="shared" si="0"/>
        <v>-5.3475720994097656E-2</v>
      </c>
      <c r="P12" s="29">
        <f t="shared" si="1"/>
        <v>-3.4123760977192559E-2</v>
      </c>
    </row>
    <row r="13" spans="1:17" ht="18" customHeight="1">
      <c r="A13" s="187"/>
      <c r="B13" s="37" t="s">
        <v>190</v>
      </c>
      <c r="C13" s="31"/>
      <c r="D13" s="31">
        <v>641.4666748046875</v>
      </c>
      <c r="E13" s="31">
        <v>616.5384521484375</v>
      </c>
      <c r="F13" s="31">
        <v>606.33331298828125</v>
      </c>
      <c r="G13" s="31">
        <v>608.69232177734375</v>
      </c>
      <c r="H13" s="31">
        <v>621.3636474609375</v>
      </c>
      <c r="I13" s="31">
        <v>613</v>
      </c>
      <c r="J13" s="31">
        <v>671.78570556640625</v>
      </c>
      <c r="K13" s="31">
        <v>640.78570556640625</v>
      </c>
      <c r="L13" s="31">
        <v>608.76922607421875</v>
      </c>
      <c r="M13" s="31">
        <v>597.08331298828125</v>
      </c>
      <c r="N13" s="31">
        <v>631</v>
      </c>
      <c r="O13" s="29">
        <f t="shared" si="0"/>
        <v>-1.6316786539026944E-2</v>
      </c>
      <c r="P13" s="29">
        <f t="shared" si="1"/>
        <v>-6.0712374836881029E-2</v>
      </c>
    </row>
    <row r="14" spans="1:17" ht="18" customHeight="1">
      <c r="A14" s="187"/>
      <c r="B14" s="37" t="s">
        <v>191</v>
      </c>
      <c r="C14" s="31"/>
      <c r="D14" s="31">
        <v>317.66665649414063</v>
      </c>
      <c r="E14" s="31">
        <v>312.92306518554688</v>
      </c>
      <c r="F14" s="31">
        <v>319.5</v>
      </c>
      <c r="G14" s="31">
        <v>298.5384521484375</v>
      </c>
      <c r="H14" s="31">
        <v>308.54544067382813</v>
      </c>
      <c r="I14" s="31">
        <v>275.30767822265625</v>
      </c>
      <c r="J14" s="31">
        <v>311.14285278320313</v>
      </c>
      <c r="K14" s="31">
        <v>301.92855834960938</v>
      </c>
      <c r="L14" s="31">
        <v>287.15383911132813</v>
      </c>
      <c r="M14" s="31">
        <v>291.66665649414063</v>
      </c>
      <c r="N14" s="31">
        <v>299.85714721679688</v>
      </c>
      <c r="O14" s="29">
        <f t="shared" si="0"/>
        <v>-5.6063514735523547E-2</v>
      </c>
      <c r="P14" s="29">
        <f t="shared" si="1"/>
        <v>-3.6271781483824921E-2</v>
      </c>
    </row>
    <row r="15" spans="1:17" ht="18" customHeight="1">
      <c r="A15" s="187"/>
      <c r="B15" s="37" t="s">
        <v>192</v>
      </c>
      <c r="C15" s="31"/>
      <c r="D15" s="31">
        <v>597.0157470703125</v>
      </c>
      <c r="E15" s="31">
        <v>564.55743408203125</v>
      </c>
      <c r="F15" s="31">
        <v>574.57537841796875</v>
      </c>
      <c r="G15" s="31">
        <v>532.46343994140625</v>
      </c>
      <c r="H15" s="31">
        <v>546.98345947265625</v>
      </c>
      <c r="I15" s="31">
        <v>516.89190673828125</v>
      </c>
      <c r="J15" s="31">
        <v>567.5948486328125</v>
      </c>
      <c r="K15" s="31">
        <v>542.51556396484375</v>
      </c>
      <c r="L15" s="31">
        <v>520.04290771484375</v>
      </c>
      <c r="M15" s="31">
        <v>517.591064453125</v>
      </c>
      <c r="N15" s="31">
        <v>533.42108154296875</v>
      </c>
      <c r="O15" s="29">
        <f t="shared" si="0"/>
        <v>-0.10652091814900487</v>
      </c>
      <c r="P15" s="29">
        <f t="shared" si="1"/>
        <v>-6.0208028970240683E-2</v>
      </c>
    </row>
    <row r="16" spans="1:17" ht="18" customHeight="1">
      <c r="A16" s="187"/>
      <c r="B16" s="37" t="s">
        <v>193</v>
      </c>
      <c r="C16" s="33"/>
      <c r="D16" s="33">
        <v>592.86712646484375</v>
      </c>
      <c r="E16" s="33">
        <v>525.8212890625</v>
      </c>
      <c r="F16" s="33">
        <v>640.30810546875</v>
      </c>
      <c r="G16" s="33">
        <v>612.125</v>
      </c>
      <c r="H16" s="33">
        <v>574.1221923828125</v>
      </c>
      <c r="I16" s="33">
        <v>464.28097534179688</v>
      </c>
      <c r="J16" s="33">
        <v>492.34658813476563</v>
      </c>
      <c r="K16" s="33">
        <v>452.1256103515625</v>
      </c>
      <c r="L16" s="33">
        <v>486.4810791015625</v>
      </c>
      <c r="M16" s="33">
        <v>528.055908203125</v>
      </c>
      <c r="N16" s="33">
        <v>490.01571655273438</v>
      </c>
      <c r="O16" s="29">
        <f t="shared" si="0"/>
        <v>-0.17348138448052125</v>
      </c>
      <c r="P16" s="29">
        <f t="shared" si="1"/>
        <v>-4.7342088646570276E-3</v>
      </c>
    </row>
    <row r="17" spans="1:16" ht="18" customHeight="1">
      <c r="A17" s="187"/>
      <c r="B17" s="37" t="s">
        <v>200</v>
      </c>
      <c r="C17" s="33"/>
      <c r="D17" s="33">
        <f ca="1">1901.425625*OFFSET(D$113,MATCH($N$1,$C$113:$C$114,0)-1,0)</f>
        <v>1901.4256250000001</v>
      </c>
      <c r="E17" s="33">
        <f ca="1">1587.8475*OFFSET(E$113,MATCH($N$1,$C$113:$C$114,0)-1,0)</f>
        <v>1587.8475000000001</v>
      </c>
      <c r="F17" s="33">
        <f ca="1">2110.38725*OFFSET(F$113,MATCH($N$1,$C$113:$C$114,0)-1,0)</f>
        <v>2110.3872500000002</v>
      </c>
      <c r="G17" s="33">
        <f ca="1">1940.66525*OFFSET(G$113,MATCH($N$1,$C$113:$C$114,0)-1,0)</f>
        <v>1940.66525</v>
      </c>
      <c r="H17" s="33">
        <f ca="1">2147.495*OFFSET(H$113,MATCH($N$1,$C$113:$C$114,0)-1,0)</f>
        <v>2147.4949999999999</v>
      </c>
      <c r="I17" s="33">
        <f ca="1">1665.77225*OFFSET(I$113,MATCH($N$1,$C$113:$C$114,0)-1,0)</f>
        <v>1665.77225</v>
      </c>
      <c r="J17" s="33">
        <f ca="1">1778.30775*OFFSET(J$113,MATCH($N$1,$C$113:$C$114,0)-1,0)</f>
        <v>1778.3077499999999</v>
      </c>
      <c r="K17" s="33">
        <f ca="1">1392.08825*OFFSET(K$113,MATCH($N$1,$C$113:$C$114,0)-1,0)</f>
        <v>1392.08825</v>
      </c>
      <c r="L17" s="33">
        <f ca="1">1259.25175*OFFSET(L$113,MATCH($N$1,$C$113:$C$114,0)-1,0)</f>
        <v>1259.2517499999999</v>
      </c>
      <c r="M17" s="33">
        <f ca="1">1485.252375*OFFSET(M$113,MATCH($N$1,$C$113:$C$114,0)-1,0)</f>
        <v>1485.252375</v>
      </c>
      <c r="N17" s="33">
        <v>1515.211125</v>
      </c>
      <c r="O17" s="29">
        <f t="shared" ca="1" si="0"/>
        <v>-0.20311838387052347</v>
      </c>
      <c r="P17" s="29">
        <f t="shared" ca="1" si="1"/>
        <v>-0.1479477469521234</v>
      </c>
    </row>
    <row r="18" spans="1:16" ht="18" customHeight="1">
      <c r="A18" s="187"/>
      <c r="B18" s="37" t="s">
        <v>195</v>
      </c>
      <c r="C18" s="31"/>
      <c r="D18" s="31">
        <v>272.13333129882813</v>
      </c>
      <c r="E18" s="31">
        <v>254.30769348144531</v>
      </c>
      <c r="F18" s="31">
        <v>287.91665649414063</v>
      </c>
      <c r="G18" s="31">
        <v>276.84616088867188</v>
      </c>
      <c r="H18" s="31">
        <v>288.90908813476563</v>
      </c>
      <c r="I18" s="31">
        <v>253.30769348144531</v>
      </c>
      <c r="J18" s="31">
        <v>232.07142639160156</v>
      </c>
      <c r="K18" s="31">
        <v>224</v>
      </c>
      <c r="L18" s="31">
        <v>257.5384521484375</v>
      </c>
      <c r="M18" s="31">
        <v>280.08334350585938</v>
      </c>
      <c r="N18" s="31">
        <v>239.35714721679688</v>
      </c>
      <c r="O18" s="29">
        <f t="shared" si="0"/>
        <v>-0.12044163765459477</v>
      </c>
      <c r="P18" s="29">
        <f t="shared" si="1"/>
        <v>3.1394303635214678E-2</v>
      </c>
    </row>
    <row r="19" spans="1:16" ht="18" customHeight="1">
      <c r="A19" s="187"/>
      <c r="B19" s="37" t="s">
        <v>201</v>
      </c>
      <c r="C19" s="31"/>
      <c r="D19" s="31">
        <v>16.733333587646484</v>
      </c>
      <c r="E19" s="31">
        <v>18.230770111083984</v>
      </c>
      <c r="F19" s="31">
        <v>18.25</v>
      </c>
      <c r="G19" s="31">
        <v>21.538461685180664</v>
      </c>
      <c r="H19" s="31">
        <v>22</v>
      </c>
      <c r="I19" s="31">
        <v>25.153846740722656</v>
      </c>
      <c r="J19" s="31">
        <v>23.214284896850586</v>
      </c>
      <c r="K19" s="31">
        <v>21.285715103149414</v>
      </c>
      <c r="L19" s="31">
        <v>20.30769157409668</v>
      </c>
      <c r="M19" s="31">
        <v>22.916666030883789</v>
      </c>
      <c r="N19" s="31">
        <v>23.142856597900391</v>
      </c>
      <c r="O19" s="29">
        <f t="shared" si="0"/>
        <v>0.38303921789892403</v>
      </c>
      <c r="P19" s="29">
        <f t="shared" si="1"/>
        <v>-3.0769114477390506E-3</v>
      </c>
    </row>
    <row r="20" spans="1:16" ht="18" customHeight="1">
      <c r="A20" s="187"/>
      <c r="B20" s="37" t="s">
        <v>202</v>
      </c>
      <c r="C20" s="38"/>
      <c r="D20" s="38">
        <v>2.1785905361175537</v>
      </c>
      <c r="E20" s="38">
        <v>2.0676577091217041</v>
      </c>
      <c r="F20" s="38">
        <v>2.223935604095459</v>
      </c>
      <c r="G20" s="38">
        <v>2.2110655307769775</v>
      </c>
      <c r="H20" s="38">
        <v>1.9872070550918579</v>
      </c>
      <c r="I20" s="38">
        <v>1.8328735828399658</v>
      </c>
      <c r="J20" s="38">
        <v>2.121530294418335</v>
      </c>
      <c r="K20" s="38">
        <v>2.0184178352355957</v>
      </c>
      <c r="L20" s="38">
        <v>1.8889648914337158</v>
      </c>
      <c r="M20" s="38">
        <v>1.8853527307510376</v>
      </c>
      <c r="N20" s="38">
        <v>2.0472157001495361</v>
      </c>
      <c r="O20" s="29">
        <f t="shared" si="0"/>
        <v>-6.0302674499880769E-2</v>
      </c>
      <c r="P20" s="29">
        <f t="shared" si="1"/>
        <v>-3.5028768839322107E-2</v>
      </c>
    </row>
    <row r="21" spans="1:16" ht="18" customHeight="1">
      <c r="A21" s="188"/>
      <c r="B21" s="39" t="s">
        <v>203</v>
      </c>
      <c r="C21" s="40"/>
      <c r="D21" s="40">
        <f ca="1">3207*OFFSET(D$113,MATCH($N$1,$C$113:$C$114,0)-1,0)</f>
        <v>3207</v>
      </c>
      <c r="E21" s="40">
        <f ca="1">3020*OFFSET(E$113,MATCH($N$1,$C$113:$C$114,0)-1,0)</f>
        <v>3020</v>
      </c>
      <c r="F21" s="40">
        <f ca="1">3296*OFFSET(F$113,MATCH($N$1,$C$113:$C$114,0)-1,0)</f>
        <v>3296</v>
      </c>
      <c r="G21" s="40">
        <f ca="1">3170*OFFSET(G$113,MATCH($N$1,$C$113:$C$114,0)-1,0)</f>
        <v>3170</v>
      </c>
      <c r="H21" s="40">
        <f ca="1">3740*OFFSET(H$113,MATCH($N$1,$C$113:$C$114,0)-1,0)</f>
        <v>3740</v>
      </c>
      <c r="I21" s="40">
        <f ca="1">3588*OFFSET(I$113,MATCH($N$1,$C$113:$C$114,0)-1,0)</f>
        <v>3588</v>
      </c>
      <c r="J21" s="40">
        <f ca="1">3612*OFFSET(J$113,MATCH($N$1,$C$113:$C$114,0)-1,0)</f>
        <v>3612</v>
      </c>
      <c r="K21" s="40">
        <f ca="1">3079*OFFSET(K$113,MATCH($N$1,$C$113:$C$114,0)-1,0)</f>
        <v>3079</v>
      </c>
      <c r="L21" s="40">
        <f ca="1">2588*OFFSET(L$113,MATCH($N$1,$C$113:$C$114,0)-1,0)</f>
        <v>2588</v>
      </c>
      <c r="M21" s="40">
        <f ca="1">2813*OFFSET(M$113,MATCH($N$1,$C$113:$C$114,0)-1,0)</f>
        <v>2813</v>
      </c>
      <c r="N21" s="40">
        <v>3092</v>
      </c>
      <c r="O21" s="34">
        <f t="shared" ca="1" si="0"/>
        <v>-3.5859058309946991E-2</v>
      </c>
      <c r="P21" s="34">
        <f t="shared" ca="1" si="1"/>
        <v>-0.14396456256921372</v>
      </c>
    </row>
    <row r="22" spans="1:16" ht="18" customHeight="1">
      <c r="A22" s="189" t="s">
        <v>204</v>
      </c>
      <c r="B22" s="35" t="s">
        <v>205</v>
      </c>
      <c r="C22" s="41"/>
      <c r="D22" s="41">
        <v>3.4286569454809737</v>
      </c>
      <c r="E22" s="41">
        <v>3.5406512618856607</v>
      </c>
      <c r="F22" s="41">
        <v>3.6766564581479142</v>
      </c>
      <c r="G22" s="41">
        <v>3.5715711831750334</v>
      </c>
      <c r="H22" s="41">
        <v>3.191630936465613</v>
      </c>
      <c r="I22" s="41">
        <v>2.978565863080417</v>
      </c>
      <c r="J22" s="41">
        <v>3.2534662370544849</v>
      </c>
      <c r="K22" s="41">
        <v>3.287018245050878</v>
      </c>
      <c r="L22" s="41">
        <v>3.1131616750753102</v>
      </c>
      <c r="M22" s="41">
        <v>3.149142899407595</v>
      </c>
      <c r="N22" s="41">
        <v>3.237431211632225</v>
      </c>
      <c r="O22" s="29">
        <f t="shared" si="0"/>
        <v>-5.5772781263750314E-2</v>
      </c>
      <c r="P22" s="29">
        <f t="shared" si="1"/>
        <v>-4.9285974569624339E-3</v>
      </c>
    </row>
    <row r="23" spans="1:16" ht="18" customHeight="1">
      <c r="A23" s="189"/>
      <c r="B23" s="37" t="s">
        <v>206</v>
      </c>
      <c r="C23" s="38"/>
      <c r="D23" s="38">
        <f ca="1">10.9962854819516*OFFSET(D$113,MATCH($N$1,$C$113:$C$114,0)-1,0)</f>
        <v>10.996285481951601</v>
      </c>
      <c r="E23" s="38">
        <f ca="1">10.6918726409511*OFFSET(E$113,MATCH($N$1,$C$113:$C$114,0)-1,0)</f>
        <v>10.6918726409511</v>
      </c>
      <c r="F23" s="38">
        <f ca="1">12.1178677040567*OFFSET(F$113,MATCH($N$1,$C$113:$C$114,0)-1,0)</f>
        <v>12.1178677040567</v>
      </c>
      <c r="G23" s="38">
        <f ca="1">11.3232167990021*OFFSET(G$113,MATCH($N$1,$C$113:$C$114,0)-1,0)</f>
        <v>11.3232167990021</v>
      </c>
      <c r="H23" s="38">
        <f ca="1">11.9382451485783*OFFSET(H$113,MATCH($N$1,$C$113:$C$114,0)-1,0)</f>
        <v>11.9382451485783</v>
      </c>
      <c r="I23" s="38">
        <f ca="1">10.6866587756778*OFFSET(I$113,MATCH($N$1,$C$113:$C$114,0)-1,0)</f>
        <v>10.686658775677801</v>
      </c>
      <c r="J23" s="38">
        <f ca="1">11.7512020254595*OFFSET(J$113,MATCH($N$1,$C$113:$C$114,0)-1,0)</f>
        <v>11.7512020254595</v>
      </c>
      <c r="K23" s="38">
        <f ca="1">10.1206818895149*OFFSET(K$113,MATCH($N$1,$C$113:$C$114,0)-1,0)</f>
        <v>10.1206818895149</v>
      </c>
      <c r="L23" s="38">
        <f ca="1">8.0583900500539*OFFSET(L$113,MATCH($N$1,$C$113:$C$114,0)-1,0)</f>
        <v>8.0583900500538999</v>
      </c>
      <c r="M23" s="38">
        <f ca="1">8.85753174597628*OFFSET(M$113,MATCH($N$1,$C$113:$C$114,0)-1,0)</f>
        <v>8.8575317459762797</v>
      </c>
      <c r="N23" s="38">
        <v>10.010682560953063</v>
      </c>
      <c r="O23" s="29">
        <f t="shared" ca="1" si="0"/>
        <v>-8.9630532293493617E-2</v>
      </c>
      <c r="P23" s="29">
        <f t="shared" ca="1" si="1"/>
        <v>-0.14811416404343361</v>
      </c>
    </row>
    <row r="24" spans="1:16" ht="18" customHeight="1">
      <c r="A24" s="189"/>
      <c r="B24" s="37" t="s">
        <v>153</v>
      </c>
      <c r="C24" s="38"/>
      <c r="D24" s="38">
        <f ca="1">11.1151054149354*OFFSET(D$113,MATCH($N$1,$C$113:$C$114,0)-1,0)</f>
        <v>11.1151054149354</v>
      </c>
      <c r="E24" s="38">
        <f ca="1">10.8247687244368*OFFSET(E$113,MATCH($N$1,$C$113:$C$114,0)-1,0)</f>
        <v>10.824768724436799</v>
      </c>
      <c r="F24" s="38">
        <f ca="1">12.0084472726343*OFFSET(F$113,MATCH($N$1,$C$113:$C$114,0)-1,0)</f>
        <v>12.008447272634299</v>
      </c>
      <c r="G24" s="38">
        <f ca="1">10.6560520358485*OFFSET(G$113,MATCH($N$1,$C$113:$C$114,0)-1,0)</f>
        <v>10.6560520358485</v>
      </c>
      <c r="H24" s="38">
        <f ca="1">8.00559730322197*OFFSET(H$113,MATCH($N$1,$C$113:$C$114,0)-1,0)</f>
        <v>8.0055973032219701</v>
      </c>
      <c r="I24" s="38">
        <f ca="1">10.1428143935567*OFFSET(I$113,MATCH($N$1,$C$113:$C$114,0)-1,0)</f>
        <v>10.1428143935567</v>
      </c>
      <c r="J24" s="38">
        <f ca="1">11.3725745760684*OFFSET(J$113,MATCH($N$1,$C$113:$C$114,0)-1,0)</f>
        <v>11.3725745760684</v>
      </c>
      <c r="K24" s="38">
        <f ca="1">9.44156861817397*OFFSET(K$113,MATCH($N$1,$C$113:$C$114,0)-1,0)</f>
        <v>9.4415686181739709</v>
      </c>
      <c r="L24" s="38">
        <f ca="1">7.81260687035991*OFFSET(L$113,MATCH($N$1,$C$113:$C$114,0)-1,0)</f>
        <v>7.8126068703599101</v>
      </c>
      <c r="M24" s="38">
        <f ca="1">8.69600081650814*OFFSET(M$113,MATCH($N$1,$C$113:$C$114,0)-1,0)</f>
        <v>8.6960008165081408</v>
      </c>
      <c r="N24" s="38">
        <v>10.366152342860842</v>
      </c>
      <c r="O24" s="29">
        <f t="shared" ca="1" si="0"/>
        <v>-6.7381553670933944E-2</v>
      </c>
      <c r="P24" s="29">
        <f t="shared" ca="1" si="1"/>
        <v>-8.8495549224658313E-2</v>
      </c>
    </row>
    <row r="25" spans="1:16" ht="18" customHeight="1">
      <c r="A25" s="189"/>
      <c r="B25" s="37" t="s">
        <v>154</v>
      </c>
      <c r="C25" s="38"/>
      <c r="D25" s="38">
        <f ca="1">-0.0877518913481558*OFFSET(D$113,MATCH($N$1,$C$113:$C$114,0)-1,0)</f>
        <v>-8.7751891348155794E-2</v>
      </c>
      <c r="E25" s="38">
        <f ca="1">-0.102688105790602*OFFSET(E$113,MATCH($N$1,$C$113:$C$114,0)-1,0)</f>
        <v>-0.102688105790602</v>
      </c>
      <c r="F25" s="38">
        <f ca="1">0.260891788205909*OFFSET(F$113,MATCH($N$1,$C$113:$C$114,0)-1,0)</f>
        <v>0.26089178820590903</v>
      </c>
      <c r="G25" s="38">
        <f ca="1">0.771072643766771*OFFSET(G$113,MATCH($N$1,$C$113:$C$114,0)-1,0)</f>
        <v>0.77107264376677098</v>
      </c>
      <c r="H25" s="38">
        <f ca="1">3.96637722319281*OFFSET(H$113,MATCH($N$1,$C$113:$C$114,0)-1,0)</f>
        <v>3.9663772231928101</v>
      </c>
      <c r="I25" s="38">
        <f ca="1">0.721891309246571*OFFSET(I$113,MATCH($N$1,$C$113:$C$114,0)-1,0)</f>
        <v>0.72189130924657097</v>
      </c>
      <c r="J25" s="38">
        <f ca="1">0.411828372436826*OFFSET(J$113,MATCH($N$1,$C$113:$C$114,0)-1,0)</f>
        <v>0.41182837243682602</v>
      </c>
      <c r="K25" s="38">
        <f ca="1">0.698176057212397*OFFSET(K$113,MATCH($N$1,$C$113:$C$114,0)-1,0)</f>
        <v>0.69817605721239695</v>
      </c>
      <c r="L25" s="38">
        <f ca="1">0.305762667784153*OFFSET(L$113,MATCH($N$1,$C$113:$C$114,0)-1,0)</f>
        <v>0.30576266778415301</v>
      </c>
      <c r="M25" s="38">
        <f ca="1">0.186556304118416*OFFSET(M$113,MATCH($N$1,$C$113:$C$114,0)-1,0)</f>
        <v>0.18655630411841601</v>
      </c>
      <c r="N25" s="38">
        <v>-0.32718638571702724</v>
      </c>
      <c r="O25" s="29">
        <f t="shared" ca="1" si="0"/>
        <v>-2.7285394159644336</v>
      </c>
      <c r="P25" s="29">
        <f t="shared" ca="1" si="1"/>
        <v>-1.794472667779142</v>
      </c>
    </row>
    <row r="26" spans="1:16" ht="18" customHeight="1">
      <c r="A26" s="189"/>
      <c r="B26" s="37" t="s">
        <v>207</v>
      </c>
      <c r="C26" s="33"/>
      <c r="D26" s="33">
        <f ca="1">95.99*OFFSET(D$113,MATCH($N$1,$C$113:$C$114,0)-1,0)</f>
        <v>95.99</v>
      </c>
      <c r="E26" s="33">
        <f ca="1">85.67*OFFSET(E$113,MATCH($N$1,$C$113:$C$114,0)-1,0)</f>
        <v>85.67</v>
      </c>
      <c r="F26" s="33">
        <f ca="1">101.04*OFFSET(F$113,MATCH($N$1,$C$113:$C$114,0)-1,0)</f>
        <v>101.04</v>
      </c>
      <c r="G26" s="33">
        <f ca="1">101.26*OFFSET(G$113,MATCH($N$1,$C$113:$C$114,0)-1,0)</f>
        <v>101.26</v>
      </c>
      <c r="H26" s="33">
        <f ca="1">103.19*OFFSET(H$113,MATCH($N$1,$C$113:$C$114,0)-1,0)</f>
        <v>103.19</v>
      </c>
      <c r="I26" s="33">
        <f ca="1">97.2*OFFSET(I$113,MATCH($N$1,$C$113:$C$114,0)-1,0)</f>
        <v>97.2</v>
      </c>
      <c r="J26" s="33">
        <f ca="1">109.21*OFFSET(J$113,MATCH($N$1,$C$113:$C$114,0)-1,0)</f>
        <v>109.21</v>
      </c>
      <c r="K26" s="33">
        <f ca="1">91.78*OFFSET(K$113,MATCH($N$1,$C$113:$C$114,0)-1,0)</f>
        <v>91.78</v>
      </c>
      <c r="L26" s="33">
        <f ca="1">87.03*OFFSET(L$113,MATCH($N$1,$C$113:$C$114,0)-1,0)</f>
        <v>87.03</v>
      </c>
      <c r="M26" s="33">
        <f ca="1">81.76*OFFSET(M$113,MATCH($N$1,$C$113:$C$114,0)-1,0)</f>
        <v>81.760000000000005</v>
      </c>
      <c r="N26" s="33">
        <v>98.32</v>
      </c>
      <c r="O26" s="29">
        <f t="shared" ca="1" si="0"/>
        <v>2.4273361808521705E-2</v>
      </c>
      <c r="P26" s="29">
        <f t="shared" ca="1" si="1"/>
        <v>-9.9716143210328734E-2</v>
      </c>
    </row>
    <row r="27" spans="1:16" ht="18" customHeight="1">
      <c r="A27" s="190"/>
      <c r="B27" s="37" t="s">
        <v>208</v>
      </c>
      <c r="C27" s="33"/>
      <c r="D27" s="33">
        <f ca="1">-0.77*OFFSET(D$113,MATCH($N$1,$C$113:$C$114,0)-1,0)</f>
        <v>-0.77</v>
      </c>
      <c r="E27" s="33">
        <f ca="1">-0.83*OFFSET(E$113,MATCH($N$1,$C$113:$C$114,0)-1,0)</f>
        <v>-0.83</v>
      </c>
      <c r="F27" s="33">
        <f ca="1">2.17*OFFSET(F$113,MATCH($N$1,$C$113:$C$114,0)-1,0)</f>
        <v>2.17</v>
      </c>
      <c r="G27" s="33">
        <f ca="1">6.9*OFFSET(G$113,MATCH($N$1,$C$113:$C$114,0)-1,0)</f>
        <v>6.9</v>
      </c>
      <c r="H27" s="33">
        <f ca="1">34.28*OFFSET(H$113,MATCH($N$1,$C$113:$C$114,0)-1,0)</f>
        <v>34.28</v>
      </c>
      <c r="I27" s="33">
        <f ca="1">6.56*OFFSET(I$113,MATCH($N$1,$C$113:$C$114,0)-1,0)</f>
        <v>6.56</v>
      </c>
      <c r="J27" s="33">
        <f ca="1">3.83*OFFSET(J$113,MATCH($N$1,$C$113:$C$114,0)-1,0)</f>
        <v>3.83</v>
      </c>
      <c r="K27" s="33">
        <f ca="1">6.33*OFFSET(K$113,MATCH($N$1,$C$113:$C$114,0)-1,0)</f>
        <v>6.33</v>
      </c>
      <c r="L27" s="33">
        <f ca="1">3.3*OFFSET(L$113,MATCH($N$1,$C$113:$C$114,0)-1,0)</f>
        <v>3.3</v>
      </c>
      <c r="M27" s="33">
        <f ca="1">1.72*OFFSET(M$113,MATCH($N$1,$C$113:$C$114,0)-1,0)</f>
        <v>1.72</v>
      </c>
      <c r="N27" s="33">
        <v>-3.21</v>
      </c>
      <c r="O27" s="34">
        <f t="shared" ca="1" si="0"/>
        <v>-3.1688311688311686</v>
      </c>
      <c r="P27" s="34">
        <f t="shared" ca="1" si="1"/>
        <v>-1.8381201044386424</v>
      </c>
    </row>
    <row r="28" spans="1:16" s="78" customFormat="1" ht="18" customHeight="1">
      <c r="A28" s="191" t="s">
        <v>209</v>
      </c>
      <c r="B28" s="82" t="s">
        <v>200</v>
      </c>
      <c r="C28" s="83"/>
      <c r="D28" s="83">
        <f ca="1">1901.4*OFFSET(D$113,MATCH($N$1,$C$113:$C$114,0)-1,0)</f>
        <v>1901.4</v>
      </c>
      <c r="E28" s="83">
        <f ca="1">1587.8*OFFSET(E$113,MATCH($N$1,$C$113:$C$114,0)-1,0)</f>
        <v>1587.8</v>
      </c>
      <c r="F28" s="83">
        <f ca="1">2110.4*OFFSET(F$113,MATCH($N$1,$C$113:$C$114,0)-1,0)</f>
        <v>2110.4</v>
      </c>
      <c r="G28" s="83">
        <f ca="1">1940.7*OFFSET(G$113,MATCH($N$1,$C$113:$C$114,0)-1,0)</f>
        <v>1940.7</v>
      </c>
      <c r="H28" s="83">
        <f ca="1">2147.5*OFFSET(H$113,MATCH($N$1,$C$113:$C$114,0)-1,0)</f>
        <v>2147.5</v>
      </c>
      <c r="I28" s="83">
        <f ca="1">1665.8*OFFSET(I$113,MATCH($N$1,$C$113:$C$114,0)-1,0)</f>
        <v>1665.8</v>
      </c>
      <c r="J28" s="83">
        <f ca="1">1778.3*OFFSET(J$113,MATCH($N$1,$C$113:$C$114,0)-1,0)</f>
        <v>1778.3</v>
      </c>
      <c r="K28" s="83">
        <f ca="1">1392.1*OFFSET(K$113,MATCH($N$1,$C$113:$C$114,0)-1,0)</f>
        <v>1392.1</v>
      </c>
      <c r="L28" s="83">
        <f ca="1">1259.3*OFFSET(L$113,MATCH($N$1,$C$113:$C$114,0)-1,0)</f>
        <v>1259.3</v>
      </c>
      <c r="M28" s="83">
        <f ca="1">1485.3*OFFSET(M$113,MATCH($N$1,$C$113:$C$114,0)-1,0)</f>
        <v>1485.3</v>
      </c>
      <c r="N28" s="83">
        <v>1515.2</v>
      </c>
      <c r="O28" s="84">
        <f t="shared" ca="1" si="0"/>
        <v>-0.20311349531923847</v>
      </c>
      <c r="P28" s="84">
        <f t="shared" ca="1" si="1"/>
        <v>-0.14795028960242923</v>
      </c>
    </row>
    <row r="29" spans="1:16" s="78" customFormat="1" ht="18" customHeight="1">
      <c r="A29" s="192"/>
      <c r="B29" s="85" t="s">
        <v>210</v>
      </c>
      <c r="C29" s="86"/>
      <c r="D29" s="86">
        <f ca="1">5.4*OFFSET(D$113,MATCH($N$1,$C$113:$C$114,0)-1,0)</f>
        <v>5.4</v>
      </c>
      <c r="E29" s="86">
        <f ca="1">4.5*OFFSET(E$113,MATCH($N$1,$C$113:$C$114,0)-1,0)</f>
        <v>4.5</v>
      </c>
      <c r="F29" s="86">
        <f ca="1">26.4*OFFSET(F$113,MATCH($N$1,$C$113:$C$114,0)-1,0)</f>
        <v>26.4</v>
      </c>
      <c r="G29" s="86">
        <f ca="1">17.8*OFFSET(G$113,MATCH($N$1,$C$113:$C$114,0)-1,0)</f>
        <v>17.8</v>
      </c>
      <c r="H29" s="86">
        <f ca="1">6.1*OFFSET(H$113,MATCH($N$1,$C$113:$C$114,0)-1,0)</f>
        <v>6.1</v>
      </c>
      <c r="I29" s="86">
        <f ca="1">27.8*OFFSET(I$113,MATCH($N$1,$C$113:$C$114,0)-1,0)</f>
        <v>27.8</v>
      </c>
      <c r="J29" s="86">
        <f ca="1">5*OFFSET(J$113,MATCH($N$1,$C$113:$C$114,0)-1,0)</f>
        <v>5</v>
      </c>
      <c r="K29" s="86">
        <f ca="1">2.6*OFFSET(K$113,MATCH($N$1,$C$113:$C$114,0)-1,0)</f>
        <v>2.6</v>
      </c>
      <c r="L29" s="86">
        <f ca="1">9.4*OFFSET(L$113,MATCH($N$1,$C$113:$C$114,0)-1,0)</f>
        <v>9.4</v>
      </c>
      <c r="M29" s="86">
        <f ca="1">4.2*OFFSET(M$113,MATCH($N$1,$C$113:$C$114,0)-1,0)</f>
        <v>4.2</v>
      </c>
      <c r="N29" s="86">
        <v>4.3</v>
      </c>
      <c r="O29" s="84">
        <f t="shared" ca="1" si="0"/>
        <v>-0.20370370370370378</v>
      </c>
      <c r="P29" s="84">
        <f t="shared" ca="1" si="1"/>
        <v>-0.14000000000000004</v>
      </c>
    </row>
    <row r="30" spans="1:16" s="78" customFormat="1" ht="18" customHeight="1">
      <c r="A30" s="192"/>
      <c r="B30" s="87" t="s">
        <v>211</v>
      </c>
      <c r="C30" s="88"/>
      <c r="D30" s="88">
        <f ca="1">1906.8*OFFSET(D$113,MATCH($N$1,$C$113:$C$114,0)-1,0)</f>
        <v>1906.8</v>
      </c>
      <c r="E30" s="88">
        <f ca="1">1592.3*OFFSET(E$113,MATCH($N$1,$C$113:$C$114,0)-1,0)</f>
        <v>1592.3</v>
      </c>
      <c r="F30" s="88">
        <f ca="1">2136.8*OFFSET(F$113,MATCH($N$1,$C$113:$C$114,0)-1,0)</f>
        <v>2136.8000000000002</v>
      </c>
      <c r="G30" s="88">
        <f ca="1">1958.5*OFFSET(G$113,MATCH($N$1,$C$113:$C$114,0)-1,0)</f>
        <v>1958.5</v>
      </c>
      <c r="H30" s="88">
        <f ca="1">2153.6*OFFSET(H$113,MATCH($N$1,$C$113:$C$114,0)-1,0)</f>
        <v>2153.6</v>
      </c>
      <c r="I30" s="88">
        <f ca="1">1693.5*OFFSET(I$113,MATCH($N$1,$C$113:$C$114,0)-1,0)</f>
        <v>1693.5</v>
      </c>
      <c r="J30" s="88">
        <f ca="1">1783.3*OFFSET(J$113,MATCH($N$1,$C$113:$C$114,0)-1,0)</f>
        <v>1783.3</v>
      </c>
      <c r="K30" s="88">
        <f ca="1">1394.7*OFFSET(K$113,MATCH($N$1,$C$113:$C$114,0)-1,0)</f>
        <v>1394.7</v>
      </c>
      <c r="L30" s="88">
        <f ca="1">1268.6*OFFSET(L$113,MATCH($N$1,$C$113:$C$114,0)-1,0)</f>
        <v>1268.5999999999999</v>
      </c>
      <c r="M30" s="88">
        <f ca="1">1489.4*OFFSET(M$113,MATCH($N$1,$C$113:$C$114,0)-1,0)</f>
        <v>1489.4</v>
      </c>
      <c r="N30" s="88">
        <v>1519.5</v>
      </c>
      <c r="O30" s="84">
        <f t="shared" ca="1" si="0"/>
        <v>-0.20311516677155442</v>
      </c>
      <c r="P30" s="84">
        <f t="shared" ca="1" si="1"/>
        <v>-0.14792799865418044</v>
      </c>
    </row>
    <row r="31" spans="1:16" s="78" customFormat="1" ht="18" customHeight="1">
      <c r="A31" s="192"/>
      <c r="B31" s="85" t="s">
        <v>212</v>
      </c>
      <c r="C31" s="86"/>
      <c r="D31" s="86">
        <f ca="1">497*OFFSET(D$113,MATCH($N$1,$C$113:$C$114,0)-1,0)</f>
        <v>497</v>
      </c>
      <c r="E31" s="86">
        <f ca="1">419.9*OFFSET(E$113,MATCH($N$1,$C$113:$C$114,0)-1,0)</f>
        <v>419.9</v>
      </c>
      <c r="F31" s="86">
        <f ca="1">444.3*OFFSET(F$113,MATCH($N$1,$C$113:$C$114,0)-1,0)</f>
        <v>444.3</v>
      </c>
      <c r="G31" s="86">
        <f ca="1">285.6*OFFSET(G$113,MATCH($N$1,$C$113:$C$114,0)-1,0)</f>
        <v>285.60000000000002</v>
      </c>
      <c r="H31" s="86">
        <f ca="1">278.1*OFFSET(H$113,MATCH($N$1,$C$113:$C$114,0)-1,0)</f>
        <v>278.10000000000002</v>
      </c>
      <c r="I31" s="86">
        <f ca="1">284.8*OFFSET(I$113,MATCH($N$1,$C$113:$C$114,0)-1,0)</f>
        <v>284.8</v>
      </c>
      <c r="J31" s="86">
        <f ca="1">320*OFFSET(J$113,MATCH($N$1,$C$113:$C$114,0)-1,0)</f>
        <v>320</v>
      </c>
      <c r="K31" s="86">
        <f ca="1">289.1*OFFSET(K$113,MATCH($N$1,$C$113:$C$114,0)-1,0)</f>
        <v>289.10000000000002</v>
      </c>
      <c r="L31" s="86">
        <f ca="1">230.7*OFFSET(L$113,MATCH($N$1,$C$113:$C$114,0)-1,0)</f>
        <v>230.7</v>
      </c>
      <c r="M31" s="86">
        <f ca="1">306.6*OFFSET(M$113,MATCH($N$1,$C$113:$C$114,0)-1,0)</f>
        <v>306.60000000000002</v>
      </c>
      <c r="N31" s="86">
        <v>466.90000000000003</v>
      </c>
      <c r="O31" s="84">
        <f t="shared" ca="1" si="0"/>
        <v>-6.0563380281690074E-2</v>
      </c>
      <c r="P31" s="84">
        <f t="shared" ca="1" si="1"/>
        <v>0.4590625000000001</v>
      </c>
    </row>
    <row r="32" spans="1:16" s="78" customFormat="1" ht="18" customHeight="1">
      <c r="A32" s="192"/>
      <c r="B32" s="85" t="s">
        <v>213</v>
      </c>
      <c r="C32" s="86"/>
      <c r="D32" s="86">
        <f ca="1">341.5*OFFSET(D$113,MATCH($N$1,$C$113:$C$114,0)-1,0)</f>
        <v>341.5</v>
      </c>
      <c r="E32" s="86">
        <f ca="1">282.9*OFFSET(E$113,MATCH($N$1,$C$113:$C$114,0)-1,0)</f>
        <v>282.89999999999998</v>
      </c>
      <c r="F32" s="86">
        <f ca="1">446.9*OFFSET(F$113,MATCH($N$1,$C$113:$C$114,0)-1,0)</f>
        <v>446.9</v>
      </c>
      <c r="G32" s="86">
        <f ca="1">455.3*OFFSET(G$113,MATCH($N$1,$C$113:$C$114,0)-1,0)</f>
        <v>455.3</v>
      </c>
      <c r="H32" s="86">
        <f ca="1">346.2*OFFSET(H$113,MATCH($N$1,$C$113:$C$114,0)-1,0)</f>
        <v>346.2</v>
      </c>
      <c r="I32" s="86">
        <f ca="1">374*OFFSET(I$113,MATCH($N$1,$C$113:$C$114,0)-1,0)</f>
        <v>374</v>
      </c>
      <c r="J32" s="86">
        <f ca="1">387.7*OFFSET(J$113,MATCH($N$1,$C$113:$C$114,0)-1,0)</f>
        <v>387.7</v>
      </c>
      <c r="K32" s="86">
        <f ca="1">345.5*OFFSET(K$113,MATCH($N$1,$C$113:$C$114,0)-1,0)</f>
        <v>345.5</v>
      </c>
      <c r="L32" s="86">
        <f ca="1">272.6*OFFSET(L$113,MATCH($N$1,$C$113:$C$114,0)-1,0)</f>
        <v>272.60000000000002</v>
      </c>
      <c r="M32" s="86">
        <f ca="1">305.3*OFFSET(M$113,MATCH($N$1,$C$113:$C$114,0)-1,0)</f>
        <v>305.3</v>
      </c>
      <c r="N32" s="86">
        <v>238.70000000000002</v>
      </c>
      <c r="O32" s="84">
        <f t="shared" ca="1" si="0"/>
        <v>-0.30102489019033668</v>
      </c>
      <c r="P32" s="84">
        <f t="shared" ca="1" si="1"/>
        <v>-0.38431777147278817</v>
      </c>
    </row>
    <row r="33" spans="1:16" s="78" customFormat="1" ht="18" customHeight="1">
      <c r="A33" s="192"/>
      <c r="B33" s="85" t="s">
        <v>214</v>
      </c>
      <c r="C33" s="86"/>
      <c r="D33" s="86">
        <f ca="1">680.4*OFFSET(D$113,MATCH($N$1,$C$113:$C$114,0)-1,0)</f>
        <v>680.4</v>
      </c>
      <c r="E33" s="86">
        <f ca="1">568.2*OFFSET(E$113,MATCH($N$1,$C$113:$C$114,0)-1,0)</f>
        <v>568.20000000000005</v>
      </c>
      <c r="F33" s="86">
        <f ca="1">864.7*OFFSET(F$113,MATCH($N$1,$C$113:$C$114,0)-1,0)</f>
        <v>864.7</v>
      </c>
      <c r="G33" s="86">
        <f ca="1">787.4*OFFSET(G$113,MATCH($N$1,$C$113:$C$114,0)-1,0)</f>
        <v>787.4</v>
      </c>
      <c r="H33" s="86">
        <f ca="1">512.3*OFFSET(H$113,MATCH($N$1,$C$113:$C$114,0)-1,0)</f>
        <v>512.29999999999995</v>
      </c>
      <c r="I33" s="86">
        <f ca="1">506.6*OFFSET(I$113,MATCH($N$1,$C$113:$C$114,0)-1,0)</f>
        <v>506.6</v>
      </c>
      <c r="J33" s="86">
        <f ca="1">636.4*OFFSET(J$113,MATCH($N$1,$C$113:$C$114,0)-1,0)</f>
        <v>636.4</v>
      </c>
      <c r="K33" s="86">
        <f ca="1">413.4*OFFSET(K$113,MATCH($N$1,$C$113:$C$114,0)-1,0)</f>
        <v>413.4</v>
      </c>
      <c r="L33" s="86">
        <f ca="1">450.6*OFFSET(L$113,MATCH($N$1,$C$113:$C$114,0)-1,0)</f>
        <v>450.6</v>
      </c>
      <c r="M33" s="86">
        <f ca="1">531.5*OFFSET(M$113,MATCH($N$1,$C$113:$C$114,0)-1,0)</f>
        <v>531.5</v>
      </c>
      <c r="N33" s="86">
        <v>542.20000000000005</v>
      </c>
      <c r="O33" s="84">
        <f t="shared" ca="1" si="0"/>
        <v>-0.20311581422692523</v>
      </c>
      <c r="P33" s="84">
        <f t="shared" ca="1" si="1"/>
        <v>-0.1480201131363921</v>
      </c>
    </row>
    <row r="34" spans="1:16" s="78" customFormat="1" ht="18" customHeight="1">
      <c r="A34" s="192"/>
      <c r="B34" s="85" t="s">
        <v>215</v>
      </c>
      <c r="C34" s="86"/>
      <c r="D34" s="86">
        <f ca="1">1519*OFFSET(D$113,MATCH($N$1,$C$113:$C$114,0)-1,0)</f>
        <v>1519</v>
      </c>
      <c r="E34" s="86">
        <f ca="1">1271*OFFSET(E$113,MATCH($N$1,$C$113:$C$114,0)-1,0)</f>
        <v>1271</v>
      </c>
      <c r="F34" s="86">
        <f ca="1">1756*OFFSET(F$113,MATCH($N$1,$C$113:$C$114,0)-1,0)</f>
        <v>1756</v>
      </c>
      <c r="G34" s="86">
        <f ca="1">1528.2*OFFSET(G$113,MATCH($N$1,$C$113:$C$114,0)-1,0)</f>
        <v>1528.2</v>
      </c>
      <c r="H34" s="86">
        <f ca="1">1136.6*OFFSET(H$113,MATCH($N$1,$C$113:$C$114,0)-1,0)</f>
        <v>1136.5999999999999</v>
      </c>
      <c r="I34" s="86">
        <f ca="1">1165.4*OFFSET(I$113,MATCH($N$1,$C$113:$C$114,0)-1,0)</f>
        <v>1165.4000000000001</v>
      </c>
      <c r="J34" s="86">
        <f ca="1">1344.1*OFFSET(J$113,MATCH($N$1,$C$113:$C$114,0)-1,0)</f>
        <v>1344.1</v>
      </c>
      <c r="K34" s="86">
        <f ca="1">1048*OFFSET(K$113,MATCH($N$1,$C$113:$C$114,0)-1,0)</f>
        <v>1048</v>
      </c>
      <c r="L34" s="86">
        <f ca="1">953.9*OFFSET(L$113,MATCH($N$1,$C$113:$C$114,0)-1,0)</f>
        <v>953.9</v>
      </c>
      <c r="M34" s="86">
        <f ca="1">1143.4*OFFSET(M$113,MATCH($N$1,$C$113:$C$114,0)-1,0)</f>
        <v>1143.4000000000001</v>
      </c>
      <c r="N34" s="86">
        <v>1247.9000000000001</v>
      </c>
      <c r="O34" s="84">
        <f t="shared" ca="1" si="0"/>
        <v>-0.17847267939433831</v>
      </c>
      <c r="P34" s="84">
        <f t="shared" ca="1" si="1"/>
        <v>-7.1572055650621108E-2</v>
      </c>
    </row>
    <row r="35" spans="1:16" s="78" customFormat="1" ht="18" customHeight="1">
      <c r="A35" s="192"/>
      <c r="B35" s="85" t="s">
        <v>216</v>
      </c>
      <c r="C35" s="86"/>
      <c r="D35" s="86">
        <f ca="1">403*OFFSET(D$113,MATCH($N$1,$C$113:$C$114,0)-1,0)</f>
        <v>403</v>
      </c>
      <c r="E35" s="86">
        <f ca="1">336.5*OFFSET(E$113,MATCH($N$1,$C$113:$C$114,0)-1,0)</f>
        <v>336.5</v>
      </c>
      <c r="F35" s="86">
        <f ca="1">335.3*OFFSET(F$113,MATCH($N$1,$C$113:$C$114,0)-1,0)</f>
        <v>335.3</v>
      </c>
      <c r="G35" s="86">
        <f ca="1">298.1*OFFSET(G$113,MATCH($N$1,$C$113:$C$114,0)-1,0)</f>
        <v>298.10000000000002</v>
      </c>
      <c r="H35" s="86">
        <f ca="1">303.4*OFFSET(H$113,MATCH($N$1,$C$113:$C$114,0)-1,0)</f>
        <v>303.39999999999998</v>
      </c>
      <c r="I35" s="86">
        <f ca="1">415.6*OFFSET(I$113,MATCH($N$1,$C$113:$C$114,0)-1,0)</f>
        <v>415.6</v>
      </c>
      <c r="J35" s="86">
        <f ca="1">376.9*OFFSET(J$113,MATCH($N$1,$C$113:$C$114,0)-1,0)</f>
        <v>376.9</v>
      </c>
      <c r="K35" s="86">
        <f ca="1">250.7*OFFSET(K$113,MATCH($N$1,$C$113:$C$114,0)-1,0)</f>
        <v>250.7</v>
      </c>
      <c r="L35" s="86">
        <f ca="1">266.9*OFFSET(L$113,MATCH($N$1,$C$113:$C$114,0)-1,0)</f>
        <v>266.89999999999998</v>
      </c>
      <c r="M35" s="86">
        <f ca="1">314.8*OFFSET(M$113,MATCH($N$1,$C$113:$C$114,0)-1,0)</f>
        <v>314.8</v>
      </c>
      <c r="N35" s="86">
        <v>321.2</v>
      </c>
      <c r="O35" s="84">
        <f t="shared" ca="1" si="0"/>
        <v>-0.20297766749379656</v>
      </c>
      <c r="P35" s="84">
        <f t="shared" ca="1" si="1"/>
        <v>-0.14778455823825945</v>
      </c>
    </row>
    <row r="36" spans="1:16" s="78" customFormat="1" ht="18" customHeight="1">
      <c r="A36" s="192"/>
      <c r="B36" s="85" t="s">
        <v>217</v>
      </c>
      <c r="C36" s="86"/>
      <c r="D36" s="86">
        <f ca="1">1922*OFFSET(D$113,MATCH($N$1,$C$113:$C$114,0)-1,0)</f>
        <v>1922</v>
      </c>
      <c r="E36" s="86">
        <f ca="1">1607.6*OFFSET(E$113,MATCH($N$1,$C$113:$C$114,0)-1,0)</f>
        <v>1607.6</v>
      </c>
      <c r="F36" s="86">
        <f ca="1">2091.3*OFFSET(F$113,MATCH($N$1,$C$113:$C$114,0)-1,0)</f>
        <v>2091.3000000000002</v>
      </c>
      <c r="G36" s="86">
        <f ca="1">1826.3*OFFSET(G$113,MATCH($N$1,$C$113:$C$114,0)-1,0)</f>
        <v>1826.3</v>
      </c>
      <c r="H36" s="86">
        <f ca="1">1440.1*OFFSET(H$113,MATCH($N$1,$C$113:$C$114,0)-1,0)</f>
        <v>1440.1</v>
      </c>
      <c r="I36" s="86">
        <f ca="1">1581*OFFSET(I$113,MATCH($N$1,$C$113:$C$114,0)-1,0)</f>
        <v>1581</v>
      </c>
      <c r="J36" s="86">
        <f ca="1">1721*OFFSET(J$113,MATCH($N$1,$C$113:$C$114,0)-1,0)</f>
        <v>1721</v>
      </c>
      <c r="K36" s="86">
        <f ca="1">1298.7*OFFSET(K$113,MATCH($N$1,$C$113:$C$114,0)-1,0)</f>
        <v>1298.7</v>
      </c>
      <c r="L36" s="86">
        <f ca="1">1220.8*OFFSET(L$113,MATCH($N$1,$C$113:$C$114,0)-1,0)</f>
        <v>1220.8</v>
      </c>
      <c r="M36" s="86">
        <f ca="1">1458.2*OFFSET(M$113,MATCH($N$1,$C$113:$C$114,0)-1,0)</f>
        <v>1458.2</v>
      </c>
      <c r="N36" s="86">
        <v>1569</v>
      </c>
      <c r="O36" s="84">
        <f t="shared" ca="1" si="0"/>
        <v>-0.18366285119667014</v>
      </c>
      <c r="P36" s="84">
        <f t="shared" ca="1" si="1"/>
        <v>-8.8320743753631609E-2</v>
      </c>
    </row>
    <row r="37" spans="1:16" s="78" customFormat="1" ht="18" customHeight="1">
      <c r="A37" s="192"/>
      <c r="B37" s="87" t="s">
        <v>218</v>
      </c>
      <c r="C37" s="88"/>
      <c r="D37" s="88">
        <f ca="1">326.3*OFFSET(D$113,MATCH($N$1,$C$113:$C$114,0)-1,0)</f>
        <v>326.3</v>
      </c>
      <c r="E37" s="88">
        <f ca="1">267.6*OFFSET(E$113,MATCH($N$1,$C$113:$C$114,0)-1,0)</f>
        <v>267.60000000000002</v>
      </c>
      <c r="F37" s="88">
        <f ca="1">492.3*OFFSET(F$113,MATCH($N$1,$C$113:$C$114,0)-1,0)</f>
        <v>492.3</v>
      </c>
      <c r="G37" s="88">
        <f ca="1">587.5*OFFSET(G$113,MATCH($N$1,$C$113:$C$114,0)-1,0)</f>
        <v>587.5</v>
      </c>
      <c r="H37" s="88">
        <f ca="1">1059.7*OFFSET(H$113,MATCH($N$1,$C$113:$C$114,0)-1,0)</f>
        <v>1059.7</v>
      </c>
      <c r="I37" s="88">
        <f ca="1">486.5*OFFSET(I$113,MATCH($N$1,$C$113:$C$114,0)-1,0)</f>
        <v>486.5</v>
      </c>
      <c r="J37" s="88">
        <f ca="1">450*OFFSET(J$113,MATCH($N$1,$C$113:$C$114,0)-1,0)</f>
        <v>450</v>
      </c>
      <c r="K37" s="88">
        <f ca="1">441.5*OFFSET(K$113,MATCH($N$1,$C$113:$C$114,0)-1,0)</f>
        <v>441.5</v>
      </c>
      <c r="L37" s="88">
        <f ca="1">320.4*OFFSET(L$113,MATCH($N$1,$C$113:$C$114,0)-1,0)</f>
        <v>320.39999999999998</v>
      </c>
      <c r="M37" s="88">
        <f ca="1">336.6*OFFSET(M$113,MATCH($N$1,$C$113:$C$114,0)-1,0)</f>
        <v>336.6</v>
      </c>
      <c r="N37" s="88">
        <v>189.20000000000002</v>
      </c>
      <c r="O37" s="84">
        <f t="shared" ca="1" si="0"/>
        <v>-0.42016549187863927</v>
      </c>
      <c r="P37" s="84">
        <f t="shared" ca="1" si="1"/>
        <v>-0.57955555555555549</v>
      </c>
    </row>
    <row r="38" spans="1:16" s="78" customFormat="1" ht="18" customHeight="1">
      <c r="A38" s="192"/>
      <c r="B38" s="87" t="s">
        <v>219</v>
      </c>
      <c r="C38" s="88"/>
      <c r="D38" s="88">
        <f ca="1">-15.2*OFFSET(D$113,MATCH($N$1,$C$113:$C$114,0)-1,0)</f>
        <v>-15.2</v>
      </c>
      <c r="E38" s="88">
        <f ca="1">-15.3*OFFSET(E$113,MATCH($N$1,$C$113:$C$114,0)-1,0)</f>
        <v>-15.3</v>
      </c>
      <c r="F38" s="88">
        <f ca="1">45.4*OFFSET(F$113,MATCH($N$1,$C$113:$C$114,0)-1,0)</f>
        <v>45.4</v>
      </c>
      <c r="G38" s="88">
        <f ca="1">132.2*OFFSET(G$113,MATCH($N$1,$C$113:$C$114,0)-1,0)</f>
        <v>132.19999999999999</v>
      </c>
      <c r="H38" s="88">
        <f ca="1">713.5*OFFSET(H$113,MATCH($N$1,$C$113:$C$114,0)-1,0)</f>
        <v>713.5</v>
      </c>
      <c r="I38" s="88">
        <f ca="1">112.5*OFFSET(I$113,MATCH($N$1,$C$113:$C$114,0)-1,0)</f>
        <v>112.5</v>
      </c>
      <c r="J38" s="88">
        <f ca="1">62.3*OFFSET(J$113,MATCH($N$1,$C$113:$C$114,0)-1,0)</f>
        <v>62.3</v>
      </c>
      <c r="K38" s="88">
        <f ca="1">96*OFFSET(K$113,MATCH($N$1,$C$113:$C$114,0)-1,0)</f>
        <v>96</v>
      </c>
      <c r="L38" s="88">
        <f ca="1">47.8*OFFSET(L$113,MATCH($N$1,$C$113:$C$114,0)-1,0)</f>
        <v>47.8</v>
      </c>
      <c r="M38" s="88">
        <f ca="1">31.3*OFFSET(M$113,MATCH($N$1,$C$113:$C$114,0)-1,0)</f>
        <v>31.3</v>
      </c>
      <c r="N38" s="88">
        <v>-49.5</v>
      </c>
      <c r="O38" s="84">
        <f t="shared" ca="1" si="0"/>
        <v>-2.2565789473684208</v>
      </c>
      <c r="P38" s="84">
        <f t="shared" ca="1" si="1"/>
        <v>-1.7945425361155698</v>
      </c>
    </row>
    <row r="39" spans="1:16" s="78" customFormat="1" ht="18" customHeight="1">
      <c r="A39" s="192"/>
      <c r="B39" s="85" t="s">
        <v>220</v>
      </c>
      <c r="C39" s="86"/>
      <c r="D39" s="86"/>
      <c r="E39" s="86"/>
      <c r="F39" s="86"/>
      <c r="G39" s="86"/>
      <c r="H39" s="86"/>
      <c r="I39" s="86"/>
      <c r="J39" s="86"/>
      <c r="K39" s="86">
        <f ca="1">70.5*OFFSET(K$113,MATCH($N$1,$C$113:$C$114,0)-1,0)</f>
        <v>70.5</v>
      </c>
      <c r="L39" s="86"/>
      <c r="M39" s="86"/>
      <c r="N39" s="86"/>
      <c r="O39" s="84" t="str">
        <f t="shared" si="0"/>
        <v/>
      </c>
      <c r="P39" s="84" t="str">
        <f t="shared" si="1"/>
        <v/>
      </c>
    </row>
    <row r="40" spans="1:16" s="78" customFormat="1" ht="18" customHeight="1">
      <c r="A40" s="192"/>
      <c r="B40" s="85" t="s">
        <v>221</v>
      </c>
      <c r="C40" s="86"/>
      <c r="D40" s="86"/>
      <c r="E40" s="86"/>
      <c r="F40" s="86"/>
      <c r="G40" s="86"/>
      <c r="H40" s="86"/>
      <c r="I40" s="86">
        <f ca="1">8.2*OFFSET(I$113,MATCH($N$1,$C$113:$C$114,0)-1,0)</f>
        <v>8.1999999999999993</v>
      </c>
      <c r="J40" s="86"/>
      <c r="K40" s="86">
        <f ca="1">8.4*OFFSET(K$113,MATCH($N$1,$C$113:$C$114,0)-1,0)</f>
        <v>8.4</v>
      </c>
      <c r="L40" s="86"/>
      <c r="M40" s="86"/>
      <c r="N40" s="86"/>
      <c r="O40" s="84" t="str">
        <f t="shared" si="0"/>
        <v/>
      </c>
      <c r="P40" s="84" t="str">
        <f t="shared" si="1"/>
        <v/>
      </c>
    </row>
    <row r="41" spans="1:16" s="78" customFormat="1" ht="18" customHeight="1">
      <c r="A41" s="192"/>
      <c r="B41" s="85" t="s">
        <v>222</v>
      </c>
      <c r="C41" s="86"/>
      <c r="D41" s="86"/>
      <c r="E41" s="86"/>
      <c r="F41" s="86"/>
      <c r="G41" s="86"/>
      <c r="H41" s="86"/>
      <c r="I41" s="86"/>
      <c r="J41" s="86"/>
      <c r="K41" s="86">
        <f ca="1">7.3*OFFSET(K$113,MATCH($N$1,$C$113:$C$114,0)-1,0)</f>
        <v>7.3</v>
      </c>
      <c r="L41" s="86"/>
      <c r="M41" s="86"/>
      <c r="N41" s="86"/>
      <c r="O41" s="84" t="str">
        <f t="shared" si="0"/>
        <v/>
      </c>
      <c r="P41" s="84" t="str">
        <f t="shared" si="1"/>
        <v/>
      </c>
    </row>
    <row r="42" spans="1:16" s="78" customFormat="1" ht="18" customHeight="1" thickBot="1">
      <c r="A42" s="193"/>
      <c r="B42" s="89" t="s">
        <v>223</v>
      </c>
      <c r="C42" s="90"/>
      <c r="D42" s="90"/>
      <c r="E42" s="90"/>
      <c r="F42" s="90"/>
      <c r="G42" s="90"/>
      <c r="H42" s="90"/>
      <c r="I42" s="90">
        <f ca="1">104.4*OFFSET(I$113,MATCH($N$1,$C$113:$C$114,0)-1,0)</f>
        <v>104.4</v>
      </c>
      <c r="J42" s="90"/>
      <c r="K42" s="90">
        <f ca="1">9.8*OFFSET(K$113,MATCH($N$1,$C$113:$C$114,0)-1,0)</f>
        <v>9.8000000000000007</v>
      </c>
      <c r="L42" s="90"/>
      <c r="M42" s="90"/>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158</v>
      </c>
      <c r="G47" s="99" t="s">
        <v>158</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Area VIIBCDEFGHK 24-40m</v>
      </c>
      <c r="C49" s="101"/>
      <c r="D49" s="101"/>
      <c r="E49" s="101"/>
      <c r="F49" s="101"/>
      <c r="G49" s="101"/>
      <c r="K49" s="101" t="str">
        <f>$B25&amp;CHAR(10)&amp;$A$1</f>
        <v>Operating profit per kW day at sea (£)
Area VIIBCDEFGHK 24-40m</v>
      </c>
    </row>
    <row r="50" spans="1:11" s="78" customFormat="1">
      <c r="A50" s="101" t="str">
        <f>$B23&amp;CHAR(10)&amp;$A$1</f>
        <v>Fishing income per kW day at sea (£)
Area VIIBCDEFGHK 24-40m</v>
      </c>
    </row>
    <row r="51" spans="1:11" s="78" customFormat="1">
      <c r="A51" s="101" t="str">
        <f>$B21&amp;CHAR(10)&amp;$A$1</f>
        <v>Average price per tonne landed (£)
Area VIIBCDEFGHK 24-40m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Area VIIBCDEFGHK 24-40m</v>
      </c>
      <c r="F63" s="101" t="str">
        <f>$B21&amp;CHAR(10)&amp;$A$1</f>
        <v>Average price per tonne landed (£)
Area VIIBCDEFGHK 24-40m</v>
      </c>
      <c r="K63" s="101" t="str">
        <f>"Average annual operating profit per vessel (£'000)"&amp;CHAR(10)&amp;$A$1</f>
        <v>Average annual operating profit per vessel (£'000)
Area VIIBCDEFGHK 24-40m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Area VIIBCDEFGHK 24-40m</v>
      </c>
      <c r="F77" s="101" t="str">
        <f>"Top 5 landed species by value in "&amp;A78&amp;CHAR(10)&amp;A1</f>
        <v>Top 5 landed species by value in 2021
Area VIIBCDEFGHK 24-40m</v>
      </c>
    </row>
    <row r="78" spans="1:11" s="101" customFormat="1">
      <c r="A78" s="101">
        <v>2021</v>
      </c>
      <c r="B78" s="101" t="s">
        <v>309</v>
      </c>
      <c r="C78" s="102">
        <v>0.42954083150979289</v>
      </c>
      <c r="D78" s="103">
        <v>12153634</v>
      </c>
      <c r="G78" s="101" t="s">
        <v>310</v>
      </c>
      <c r="H78" s="102">
        <v>0.51632167975823262</v>
      </c>
      <c r="I78" s="103">
        <v>12153634</v>
      </c>
      <c r="K78" s="101" t="s">
        <v>237</v>
      </c>
    </row>
    <row r="79" spans="1:11" s="101" customFormat="1">
      <c r="B79" s="101" t="s">
        <v>311</v>
      </c>
      <c r="C79" s="102">
        <v>0.29331623296995063</v>
      </c>
      <c r="D79" s="103">
        <v>553960</v>
      </c>
      <c r="G79" s="101" t="s">
        <v>312</v>
      </c>
      <c r="H79" s="102">
        <v>0.23931725151526193</v>
      </c>
      <c r="I79" s="103">
        <v>553960</v>
      </c>
    </row>
    <row r="80" spans="1:11" s="101" customFormat="1">
      <c r="B80" s="101" t="s">
        <v>313</v>
      </c>
      <c r="C80" s="102">
        <v>4.0487332423450983E-2</v>
      </c>
      <c r="D80" s="103">
        <v>1692097</v>
      </c>
      <c r="G80" s="101" t="s">
        <v>314</v>
      </c>
      <c r="H80" s="102">
        <v>6.587882597963865E-2</v>
      </c>
      <c r="I80" s="103">
        <v>3050596</v>
      </c>
    </row>
    <row r="81" spans="1:19" s="101" customFormat="1">
      <c r="B81" s="101" t="s">
        <v>315</v>
      </c>
      <c r="C81" s="102">
        <v>3.9737647988804012E-2</v>
      </c>
      <c r="D81" s="103">
        <v>11115023</v>
      </c>
      <c r="G81" s="101" t="s">
        <v>316</v>
      </c>
      <c r="H81" s="102">
        <v>2.5214048400644961E-2</v>
      </c>
      <c r="I81" s="103">
        <v>1692097</v>
      </c>
    </row>
    <row r="82" spans="1:19" s="101" customFormat="1">
      <c r="B82" s="101" t="s">
        <v>317</v>
      </c>
      <c r="C82" s="102">
        <v>2.8438562367395514E-2</v>
      </c>
      <c r="D82" s="103">
        <v>2480382</v>
      </c>
      <c r="G82" s="101" t="s">
        <v>318</v>
      </c>
      <c r="H82" s="102">
        <v>2.4852956840698468E-2</v>
      </c>
      <c r="I82" s="103">
        <v>3689192</v>
      </c>
    </row>
    <row r="83" spans="1:19" s="101" customFormat="1">
      <c r="B83" s="101" t="s">
        <v>319</v>
      </c>
      <c r="C83" s="102">
        <v>0.16847939274060597</v>
      </c>
      <c r="D83" s="103">
        <v>5920853</v>
      </c>
      <c r="G83" s="101" t="s">
        <v>320</v>
      </c>
      <c r="H83" s="102">
        <v>0.12841523750552331</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161</v>
      </c>
      <c r="D93" s="107">
        <v>0.4031881504887127</v>
      </c>
      <c r="E93" s="107">
        <v>0.40701506377959568</v>
      </c>
      <c r="F93" s="107">
        <v>0.38506751811489454</v>
      </c>
      <c r="G93" s="107">
        <v>0.45812575492874508</v>
      </c>
      <c r="H93" s="107">
        <v>0.4487135587552471</v>
      </c>
      <c r="I93" s="107">
        <v>0.4587744128226347</v>
      </c>
      <c r="J93" s="107">
        <v>0.47819974389844794</v>
      </c>
      <c r="K93" s="107">
        <v>0.46660442123667811</v>
      </c>
      <c r="L93" s="107">
        <v>0.51632167975823262</v>
      </c>
      <c r="M93" s="107">
        <v>0.4115356200239137</v>
      </c>
      <c r="O93" s="101">
        <v>12153634</v>
      </c>
    </row>
    <row r="94" spans="1:19" s="101" customFormat="1" hidden="1">
      <c r="B94" s="101">
        <v>2</v>
      </c>
      <c r="C94" s="101" t="s">
        <v>321</v>
      </c>
      <c r="D94" s="107">
        <v>0.32393297562530143</v>
      </c>
      <c r="E94" s="107">
        <v>0.32545855941152041</v>
      </c>
      <c r="F94" s="107">
        <v>0.30892385848014436</v>
      </c>
      <c r="G94" s="107">
        <v>0.33933461392909081</v>
      </c>
      <c r="H94" s="107">
        <v>0.30372534837333187</v>
      </c>
      <c r="I94" s="107">
        <v>0.26760876733399463</v>
      </c>
      <c r="J94" s="107">
        <v>0.24042407363730939</v>
      </c>
      <c r="K94" s="107">
        <v>0.25414369198610165</v>
      </c>
      <c r="L94" s="107">
        <v>0.23931725151526193</v>
      </c>
      <c r="M94" s="107">
        <v>0.18660789189399157</v>
      </c>
      <c r="O94" s="101">
        <v>553960</v>
      </c>
    </row>
    <row r="95" spans="1:19" s="101" customFormat="1" hidden="1">
      <c r="B95" s="101">
        <v>3</v>
      </c>
      <c r="C95" s="101" t="s">
        <v>159</v>
      </c>
      <c r="D95" s="107"/>
      <c r="E95" s="107"/>
      <c r="F95" s="107"/>
      <c r="G95" s="107">
        <v>3.6076637180995873E-2</v>
      </c>
      <c r="H95" s="107">
        <v>8.0846898694755198E-2</v>
      </c>
      <c r="I95" s="107">
        <v>6.2714745381407255E-2</v>
      </c>
      <c r="J95" s="107">
        <v>6.9146097810864227E-2</v>
      </c>
      <c r="K95" s="107">
        <v>4.3673971790671846E-2</v>
      </c>
      <c r="L95" s="107">
        <v>6.587882597963865E-2</v>
      </c>
      <c r="M95" s="107">
        <v>0.16642557972589958</v>
      </c>
      <c r="O95" s="101">
        <v>3050596</v>
      </c>
    </row>
    <row r="96" spans="1:19" s="101" customFormat="1" hidden="1">
      <c r="B96" s="101">
        <v>4</v>
      </c>
      <c r="C96" s="101" t="s">
        <v>322</v>
      </c>
      <c r="D96" s="107"/>
      <c r="E96" s="107"/>
      <c r="F96" s="107"/>
      <c r="G96" s="107">
        <v>3.3864741443011027E-2</v>
      </c>
      <c r="H96" s="107">
        <v>2.6492853044841148E-2</v>
      </c>
      <c r="I96" s="107">
        <v>3.1937299966021626E-2</v>
      </c>
      <c r="J96" s="107">
        <v>2.8444232778621851E-2</v>
      </c>
      <c r="K96" s="107"/>
      <c r="L96" s="107">
        <v>2.5214048400644961E-2</v>
      </c>
      <c r="M96" s="107">
        <v>3.0470541210758179E-2</v>
      </c>
      <c r="O96" s="101">
        <v>1692097</v>
      </c>
    </row>
    <row r="97" spans="1:15" s="101" customFormat="1" hidden="1">
      <c r="B97" s="101">
        <v>5</v>
      </c>
      <c r="C97" s="101" t="s">
        <v>323</v>
      </c>
      <c r="D97" s="107"/>
      <c r="E97" s="107"/>
      <c r="F97" s="107"/>
      <c r="G97" s="107"/>
      <c r="H97" s="107"/>
      <c r="I97" s="107"/>
      <c r="J97" s="107"/>
      <c r="K97" s="107"/>
      <c r="L97" s="107">
        <v>2.4852956840698468E-2</v>
      </c>
      <c r="M97" s="107"/>
      <c r="O97" s="101">
        <v>3689192</v>
      </c>
    </row>
    <row r="98" spans="1:15" s="101" customFormat="1" hidden="1">
      <c r="B98" s="101">
        <v>6</v>
      </c>
      <c r="C98" s="101" t="s">
        <v>181</v>
      </c>
      <c r="D98" s="107">
        <v>3.8958014861504915E-2</v>
      </c>
      <c r="E98" s="107">
        <v>4.0309536607420322E-2</v>
      </c>
      <c r="F98" s="107">
        <v>3.6188919291715992E-2</v>
      </c>
      <c r="G98" s="107"/>
      <c r="H98" s="107"/>
      <c r="I98" s="107"/>
      <c r="J98" s="107"/>
      <c r="K98" s="107"/>
      <c r="L98" s="107"/>
      <c r="M98" s="107">
        <v>3.3293173520936921E-2</v>
      </c>
      <c r="O98" s="101">
        <v>11115023</v>
      </c>
    </row>
    <row r="99" spans="1:15" s="101" customFormat="1" hidden="1">
      <c r="B99" s="101">
        <v>7</v>
      </c>
      <c r="C99" s="101" t="s">
        <v>165</v>
      </c>
      <c r="D99" s="107">
        <v>3.3098359216542111E-2</v>
      </c>
      <c r="E99" s="107">
        <v>4.1481225663011344E-2</v>
      </c>
      <c r="F99" s="107">
        <v>4.9009991365753493E-2</v>
      </c>
      <c r="G99" s="107">
        <v>4.969888275031932E-2</v>
      </c>
      <c r="H99" s="107">
        <v>4.5530745822885431E-2</v>
      </c>
      <c r="I99" s="107">
        <v>3.197149527225629E-2</v>
      </c>
      <c r="J99" s="107">
        <v>3.9681538971269824E-2</v>
      </c>
      <c r="K99" s="107">
        <v>3.7061209123884893E-2</v>
      </c>
      <c r="L99" s="107"/>
      <c r="M99" s="107"/>
      <c r="O99" s="101">
        <v>2480382</v>
      </c>
    </row>
    <row r="100" spans="1:15" s="101" customFormat="1" hidden="1">
      <c r="B100" s="101">
        <v>8</v>
      </c>
      <c r="C100" s="101" t="s">
        <v>156</v>
      </c>
      <c r="D100" s="107">
        <v>5.6317600795370425E-2</v>
      </c>
      <c r="E100" s="107">
        <v>2.2554224177519389E-2</v>
      </c>
      <c r="F100" s="107"/>
      <c r="G100" s="107"/>
      <c r="H100" s="107"/>
      <c r="I100" s="107"/>
      <c r="J100" s="107"/>
      <c r="K100" s="107">
        <v>3.1528333999485875E-2</v>
      </c>
      <c r="L100" s="107"/>
      <c r="M100" s="107"/>
      <c r="O100" s="101">
        <v>7434864</v>
      </c>
    </row>
    <row r="101" spans="1:15" s="101" customFormat="1" hidden="1">
      <c r="B101" s="101">
        <v>9</v>
      </c>
      <c r="C101" s="101" t="s">
        <v>169</v>
      </c>
      <c r="D101" s="107"/>
      <c r="E101" s="107"/>
      <c r="F101" s="107">
        <v>3.0294966055495028E-2</v>
      </c>
      <c r="G101" s="107"/>
      <c r="H101" s="107"/>
      <c r="I101" s="107"/>
      <c r="J101" s="107"/>
      <c r="K101" s="107"/>
      <c r="L101" s="107"/>
      <c r="M101" s="107"/>
      <c r="O101" s="101">
        <v>8497745</v>
      </c>
    </row>
    <row r="102" spans="1:15" s="101" customFormat="1" hidden="1">
      <c r="B102" s="101">
        <v>10</v>
      </c>
      <c r="C102" s="101" t="s">
        <v>251</v>
      </c>
      <c r="D102" s="107">
        <v>0.14450489901256838</v>
      </c>
      <c r="E102" s="107">
        <v>0.16318139036093285</v>
      </c>
      <c r="F102" s="107">
        <v>0.19051474669199658</v>
      </c>
      <c r="G102" s="107">
        <v>8.2899369767837849E-2</v>
      </c>
      <c r="H102" s="107">
        <v>9.4690595308939279E-2</v>
      </c>
      <c r="I102" s="107">
        <v>0.14699327922368549</v>
      </c>
      <c r="J102" s="107">
        <v>0.1441043129034868</v>
      </c>
      <c r="K102" s="107">
        <v>0.16698837186317761</v>
      </c>
      <c r="L102" s="107">
        <v>0.12841523750552336</v>
      </c>
      <c r="M102" s="107">
        <v>0.17166719362450006</v>
      </c>
      <c r="O102" s="101">
        <v>5920853</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11</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t="s">
        <v>259</v>
      </c>
      <c r="D121" s="52">
        <v>6</v>
      </c>
      <c r="E121" s="52" t="s">
        <v>259</v>
      </c>
      <c r="F121" s="53">
        <v>12</v>
      </c>
    </row>
    <row r="122" spans="1:15" ht="18" customHeight="1">
      <c r="A122" s="186" t="s">
        <v>198</v>
      </c>
      <c r="B122" s="35" t="s">
        <v>199</v>
      </c>
      <c r="C122" s="54"/>
      <c r="D122" s="54">
        <v>30.233333587646484</v>
      </c>
      <c r="E122" s="54"/>
      <c r="F122" s="55">
        <v>31.928333282470703</v>
      </c>
    </row>
    <row r="123" spans="1:15" ht="18" customHeight="1">
      <c r="A123" s="187"/>
      <c r="B123" s="37" t="s">
        <v>190</v>
      </c>
      <c r="C123" s="56"/>
      <c r="D123" s="56">
        <v>626.16668701171875</v>
      </c>
      <c r="E123" s="56"/>
      <c r="F123" s="57">
        <v>597.08331298828125</v>
      </c>
    </row>
    <row r="124" spans="1:15" ht="18" customHeight="1">
      <c r="A124" s="187"/>
      <c r="B124" s="37" t="s">
        <v>191</v>
      </c>
      <c r="C124" s="56"/>
      <c r="D124" s="56">
        <v>275.83332824707031</v>
      </c>
      <c r="E124" s="56"/>
      <c r="F124" s="57">
        <v>291.66665649414063</v>
      </c>
    </row>
    <row r="125" spans="1:15" ht="18" customHeight="1">
      <c r="A125" s="187"/>
      <c r="B125" s="37" t="s">
        <v>192</v>
      </c>
      <c r="C125" s="56"/>
      <c r="D125" s="56">
        <v>515.48918151855469</v>
      </c>
      <c r="E125" s="56"/>
      <c r="F125" s="57">
        <v>517.591064453125</v>
      </c>
    </row>
    <row r="126" spans="1:15" ht="18" customHeight="1">
      <c r="A126" s="187"/>
      <c r="B126" s="37" t="s">
        <v>193</v>
      </c>
      <c r="C126" s="33"/>
      <c r="D126" s="33">
        <v>487.71356201171875</v>
      </c>
      <c r="E126" s="33"/>
      <c r="F126" s="58">
        <v>528.055908203125</v>
      </c>
    </row>
    <row r="127" spans="1:15" ht="18" customHeight="1">
      <c r="A127" s="187"/>
      <c r="B127" s="37" t="s">
        <v>200</v>
      </c>
      <c r="C127" s="33"/>
      <c r="D127" s="33">
        <f ca="1">1505.772125*OFFSET($L$113,MATCH($N$1,$C$113:$C$114,0)-1,0)</f>
        <v>1505.772125</v>
      </c>
      <c r="E127" s="33"/>
      <c r="F127" s="58">
        <f ca="1">1485.252375*OFFSET($L$113,MATCH($N$1,$C$113:$C$114,0)-1,0)</f>
        <v>1485.252375</v>
      </c>
    </row>
    <row r="128" spans="1:15" ht="18" customHeight="1">
      <c r="A128" s="187"/>
      <c r="B128" s="37" t="s">
        <v>195</v>
      </c>
      <c r="C128" s="56"/>
      <c r="D128" s="56">
        <v>285</v>
      </c>
      <c r="E128" s="56"/>
      <c r="F128" s="57">
        <v>280.08334350585938</v>
      </c>
    </row>
    <row r="129" spans="1:15" ht="18" customHeight="1">
      <c r="A129" s="187"/>
      <c r="B129" s="37" t="s">
        <v>201</v>
      </c>
      <c r="C129" s="56"/>
      <c r="D129" s="56">
        <v>19.333333015441895</v>
      </c>
      <c r="E129" s="56"/>
      <c r="F129" s="57">
        <v>22.916666030883789</v>
      </c>
    </row>
    <row r="130" spans="1:15" ht="18" customHeight="1">
      <c r="A130" s="187"/>
      <c r="B130" s="37" t="s">
        <v>202</v>
      </c>
      <c r="C130" s="59"/>
      <c r="D130" s="59">
        <v>1.7112756561814693</v>
      </c>
      <c r="E130" s="59"/>
      <c r="F130" s="60">
        <v>1.8853527307510376</v>
      </c>
    </row>
    <row r="131" spans="1:15" ht="18" customHeight="1">
      <c r="A131" s="188"/>
      <c r="B131" s="39" t="s">
        <v>203</v>
      </c>
      <c r="C131" s="40"/>
      <c r="D131" s="40">
        <f ca="1">3087.41081299646*OFFSET($L$113,MATCH($N$1,$C$113:$C$114,0)-1,0)</f>
        <v>3087.4108129964602</v>
      </c>
      <c r="E131" s="40"/>
      <c r="F131" s="61">
        <f ca="1">2813*OFFSET($L$113,MATCH($N$1,$C$113:$C$114,0)-1,0)</f>
        <v>2813</v>
      </c>
    </row>
    <row r="132" spans="1:15" ht="18" customHeight="1">
      <c r="A132" s="198" t="s">
        <v>204</v>
      </c>
      <c r="B132" s="35" t="s">
        <v>205</v>
      </c>
      <c r="C132" s="62"/>
      <c r="D132" s="62">
        <v>2.7423081053576217</v>
      </c>
      <c r="E132" s="62"/>
      <c r="F132" s="63">
        <v>3.149142899407595</v>
      </c>
    </row>
    <row r="133" spans="1:15" ht="18" customHeight="1">
      <c r="A133" s="199"/>
      <c r="B133" s="37" t="s">
        <v>206</v>
      </c>
      <c r="C133" s="59"/>
      <c r="D133" s="59">
        <f ca="1">8.46663169704896*OFFSET($L$113,MATCH($N$1,$C$113:$C$114,0)-1,0)</f>
        <v>8.4666316970489603</v>
      </c>
      <c r="E133" s="59"/>
      <c r="F133" s="60">
        <f ca="1">8.85753174597628*OFFSET($L$113,MATCH($N$1,$C$113:$C$114,0)-1,0)</f>
        <v>8.8575317459762797</v>
      </c>
    </row>
    <row r="134" spans="1:15" ht="18" customHeight="1">
      <c r="A134" s="199"/>
      <c r="B134" s="37" t="s">
        <v>153</v>
      </c>
      <c r="C134" s="59"/>
      <c r="D134" s="59">
        <f ca="1">8.31890042238091*OFFSET($L$113,MATCH($N$1,$C$113:$C$114,0)-1,0)</f>
        <v>8.31890042238091</v>
      </c>
      <c r="E134" s="59"/>
      <c r="F134" s="60">
        <f ca="1">8.67097544185786*OFFSET($L$113,MATCH($N$1,$C$113:$C$114,0)-1,0)</f>
        <v>8.6709754418578608</v>
      </c>
    </row>
    <row r="135" spans="1:15" ht="18" customHeight="1">
      <c r="A135" s="200"/>
      <c r="B135" s="39" t="s">
        <v>154</v>
      </c>
      <c r="C135" s="64"/>
      <c r="D135" s="64">
        <f ca="1">0.147731274668044*OFFSET($L$113,MATCH($N$1,$C$113:$C$114,0)-1,0)</f>
        <v>0.147731274668044</v>
      </c>
      <c r="E135" s="64"/>
      <c r="F135" s="65">
        <f ca="1">0.186556304118416*OFFSET($L$113,MATCH($N$1,$C$113:$C$114,0)-1,0)</f>
        <v>0.18655630411841601</v>
      </c>
    </row>
    <row r="136" spans="1:15" ht="18" customHeight="1">
      <c r="A136" s="201" t="s">
        <v>260</v>
      </c>
      <c r="B136" s="37" t="s">
        <v>261</v>
      </c>
      <c r="C136" s="66"/>
      <c r="D136" s="66">
        <f ca="1">316.27334375*OFFSET($L$113,MATCH($N$1,$C$113:$C$114,0)-1,0)</f>
        <v>316.27334374999998</v>
      </c>
      <c r="E136" s="66"/>
      <c r="F136" s="67">
        <f ca="1">306.59684375*OFFSET($L$113,MATCH($N$1,$C$113:$C$114,0)-1,0)</f>
        <v>306.59684375000001</v>
      </c>
    </row>
    <row r="137" spans="1:15" ht="18" customHeight="1">
      <c r="A137" s="202"/>
      <c r="B137" s="37" t="s">
        <v>262</v>
      </c>
      <c r="C137" s="31"/>
      <c r="D137" s="31">
        <v>664083.32871307433</v>
      </c>
      <c r="E137" s="31"/>
      <c r="F137" s="68">
        <v>644916.66666666663</v>
      </c>
    </row>
    <row r="138" spans="1:15" ht="18" customHeight="1">
      <c r="A138" s="202"/>
      <c r="B138" s="37" t="s">
        <v>263</v>
      </c>
      <c r="C138" s="31"/>
      <c r="D138" s="31">
        <v>2330.1169428528924</v>
      </c>
      <c r="E138" s="31"/>
      <c r="F138" s="68">
        <v>2302.588623046875</v>
      </c>
    </row>
    <row r="139" spans="1:15" ht="18" customHeight="1">
      <c r="A139" s="202"/>
      <c r="B139" s="37" t="s">
        <v>264</v>
      </c>
      <c r="C139" s="31"/>
      <c r="D139" s="31">
        <f ca="1">1109.73103070175*OFFSET($L$113,MATCH($N$1,$C$113:$C$114,0)-1,0)</f>
        <v>1109.7310307017499</v>
      </c>
      <c r="E139" s="31"/>
      <c r="F139" s="68">
        <f ca="1">1094.66289538059*OFFSET($L$113,MATCH($N$1,$C$113:$C$114,0)-1,0)</f>
        <v>1094.66289538059</v>
      </c>
      <c r="I139" s="43"/>
      <c r="L139" s="69" t="str">
        <f>C120</f>
        <v>Most
profitable
quartile</v>
      </c>
      <c r="M139" s="69" t="str">
        <f>D120</f>
        <v>Middle
two quartiles</v>
      </c>
      <c r="N139" s="69" t="str">
        <f>E120</f>
        <v>Least
profitable
quartile</v>
      </c>
      <c r="O139" s="69"/>
    </row>
    <row r="140" spans="1:15" ht="18" customHeight="1">
      <c r="A140" s="202"/>
      <c r="B140" s="37" t="s">
        <v>265</v>
      </c>
      <c r="C140" s="31"/>
      <c r="D140" s="31">
        <f ca="1">648.48174909354*OFFSET($L$113,MATCH($N$1,$C$113:$C$114,0)-1,0)</f>
        <v>648.48174909353997</v>
      </c>
      <c r="E140" s="31"/>
      <c r="F140" s="68">
        <f ca="1">580.614361068871*OFFSET($L$113,MATCH($N$1,$C$113:$C$114,0)-1,0)</f>
        <v>580.61436106887095</v>
      </c>
      <c r="I140" s="43"/>
      <c r="K140" s="69" t="s">
        <v>266</v>
      </c>
      <c r="L140" s="70">
        <f t="shared" ref="L140:M142" si="2">C141</f>
        <v>0</v>
      </c>
      <c r="M140" s="70">
        <f t="shared" ca="1" si="2"/>
        <v>1510.0264374999999</v>
      </c>
      <c r="N140" s="70">
        <f>E141</f>
        <v>0</v>
      </c>
      <c r="O140" s="70"/>
    </row>
    <row r="141" spans="1:15" ht="18" customHeight="1">
      <c r="A141" s="179" t="s">
        <v>267</v>
      </c>
      <c r="B141" s="35" t="s">
        <v>268</v>
      </c>
      <c r="C141" s="71"/>
      <c r="D141" s="71">
        <f ca="1">1510.0264375*OFFSET($L$113,MATCH($N$1,$C$113:$C$114,0)-1,0)</f>
        <v>1510.0264374999999</v>
      </c>
      <c r="E141" s="71"/>
      <c r="F141" s="72">
        <f ca="1">1489.448625*OFFSET($L$113,MATCH($N$1,$C$113:$C$114,0)-1,0)</f>
        <v>1489.448625</v>
      </c>
      <c r="I141" s="43"/>
      <c r="K141" s="69" t="s">
        <v>269</v>
      </c>
      <c r="L141" s="70">
        <f t="shared" si="2"/>
        <v>0</v>
      </c>
      <c r="M141" s="70">
        <f t="shared" ca="1" si="2"/>
        <v>1483.7527500000001</v>
      </c>
      <c r="N141" s="70">
        <f>E142</f>
        <v>0</v>
      </c>
      <c r="O141" s="70"/>
    </row>
    <row r="142" spans="1:15" ht="18" customHeight="1">
      <c r="A142" s="180"/>
      <c r="B142" s="37" t="s">
        <v>270</v>
      </c>
      <c r="C142" s="31"/>
      <c r="D142" s="31">
        <f ca="1">1483.75275*OFFSET($L$113,MATCH($N$1,$C$113:$C$114,0)-1,0)</f>
        <v>1483.7527500000001</v>
      </c>
      <c r="E142" s="31"/>
      <c r="F142" s="68">
        <f ca="1">1458.1665*OFFSET($L$113,MATCH($N$1,$C$113:$C$114,0)-1,0)</f>
        <v>1458.1665</v>
      </c>
      <c r="I142" s="43"/>
      <c r="K142" s="69" t="s">
        <v>271</v>
      </c>
      <c r="L142" s="70">
        <f t="shared" si="2"/>
        <v>0</v>
      </c>
      <c r="M142" s="70">
        <f t="shared" ca="1" si="2"/>
        <v>26.273687500000001</v>
      </c>
      <c r="N142" s="70">
        <f>E143</f>
        <v>0</v>
      </c>
      <c r="O142" s="70"/>
    </row>
    <row r="143" spans="1:15" ht="18" customHeight="1">
      <c r="A143" s="181"/>
      <c r="B143" s="39" t="s">
        <v>272</v>
      </c>
      <c r="C143" s="40"/>
      <c r="D143" s="40">
        <f ca="1">26.2736875*OFFSET($L$113,MATCH($N$1,$C$113:$C$114,0)-1,0)</f>
        <v>26.273687500000001</v>
      </c>
      <c r="E143" s="40"/>
      <c r="F143" s="61">
        <f ca="1">31.282212890625*OFFSET($L$113,MATCH($N$1,$C$113:$C$114,0)-1,0)</f>
        <v>31.282212890625001</v>
      </c>
      <c r="I143" s="43"/>
      <c r="K143" s="69" t="s">
        <v>273</v>
      </c>
      <c r="L143" s="73" t="str">
        <f>IFERROR(L141/L$140,"")</f>
        <v/>
      </c>
      <c r="M143" s="73">
        <f t="shared" ref="M143:N144" ca="1" si="3">IFERROR(M141/M$140,"")</f>
        <v>0.98260051158872519</v>
      </c>
      <c r="N143" s="73" t="str">
        <f t="shared" si="3"/>
        <v/>
      </c>
      <c r="O143" s="73"/>
    </row>
    <row r="144" spans="1:15" ht="18" customHeight="1">
      <c r="I144" s="43"/>
      <c r="K144" s="69" t="s">
        <v>274</v>
      </c>
      <c r="L144" s="73" t="str">
        <f>IFERROR(L142/L$140,"")</f>
        <v/>
      </c>
      <c r="M144" s="73">
        <f t="shared" ca="1" si="3"/>
        <v>1.7399488411274922E-2</v>
      </c>
      <c r="N144" s="73" t="str">
        <f t="shared" si="3"/>
        <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161</v>
      </c>
      <c r="C163" s="48">
        <v>0</v>
      </c>
      <c r="D163" s="48">
        <v>0.44339468831258833</v>
      </c>
      <c r="E163" s="48">
        <v>0</v>
      </c>
      <c r="F163" s="44">
        <v>12153634</v>
      </c>
      <c r="G163" s="44">
        <v>1</v>
      </c>
      <c r="H163" s="48" t="s">
        <v>161</v>
      </c>
      <c r="I163" s="48">
        <v>0</v>
      </c>
      <c r="J163" s="48">
        <v>0.48578820062671729</v>
      </c>
      <c r="K163" s="48">
        <v>0</v>
      </c>
      <c r="L163" s="44">
        <v>12153634</v>
      </c>
      <c r="R163" s="21"/>
      <c r="S163" s="21"/>
    </row>
    <row r="164" spans="1:19" s="43" customFormat="1">
      <c r="A164" s="44">
        <v>2</v>
      </c>
      <c r="B164" s="48" t="s">
        <v>321</v>
      </c>
      <c r="C164" s="48">
        <v>0</v>
      </c>
      <c r="D164" s="48">
        <v>0.29733686446448088</v>
      </c>
      <c r="E164" s="48">
        <v>0</v>
      </c>
      <c r="F164" s="44">
        <v>553960</v>
      </c>
      <c r="G164" s="44">
        <v>2</v>
      </c>
      <c r="H164" s="48" t="s">
        <v>321</v>
      </c>
      <c r="I164" s="48">
        <v>0</v>
      </c>
      <c r="J164" s="48">
        <v>0.21632314876998313</v>
      </c>
      <c r="K164" s="48">
        <v>0</v>
      </c>
      <c r="L164" s="44">
        <v>553960</v>
      </c>
      <c r="N164" s="43" t="s">
        <v>278</v>
      </c>
      <c r="R164" s="21"/>
      <c r="S164" s="21"/>
    </row>
    <row r="165" spans="1:19" s="43" customFormat="1">
      <c r="A165" s="44">
        <v>3</v>
      </c>
      <c r="B165" s="48" t="s">
        <v>159</v>
      </c>
      <c r="C165" s="48">
        <v>0</v>
      </c>
      <c r="D165" s="48">
        <v>4.0829936910253391E-2</v>
      </c>
      <c r="E165" s="48">
        <v>0</v>
      </c>
      <c r="F165" s="44">
        <v>3050596</v>
      </c>
      <c r="G165" s="44">
        <v>3</v>
      </c>
      <c r="H165" s="48" t="s">
        <v>159</v>
      </c>
      <c r="I165" s="48">
        <v>0</v>
      </c>
      <c r="J165" s="48">
        <v>0.13283884194232831</v>
      </c>
      <c r="K165" s="48">
        <v>0</v>
      </c>
      <c r="L165" s="44">
        <v>3050596</v>
      </c>
      <c r="N165" s="43" t="s">
        <v>279</v>
      </c>
      <c r="R165" s="21"/>
      <c r="S165" s="21"/>
    </row>
    <row r="166" spans="1:19" s="43" customFormat="1">
      <c r="A166" s="44">
        <v>4</v>
      </c>
      <c r="B166" s="48" t="s">
        <v>156</v>
      </c>
      <c r="C166" s="48">
        <v>0</v>
      </c>
      <c r="D166" s="48">
        <v>3.8147413220645646E-2</v>
      </c>
      <c r="E166" s="48">
        <v>0</v>
      </c>
      <c r="F166" s="44">
        <v>2480382</v>
      </c>
      <c r="G166" s="44">
        <v>4</v>
      </c>
      <c r="H166" s="48" t="s">
        <v>323</v>
      </c>
      <c r="I166" s="48">
        <v>0</v>
      </c>
      <c r="J166" s="48">
        <v>3.3610097876438913E-2</v>
      </c>
      <c r="K166" s="48">
        <v>0</v>
      </c>
      <c r="L166" s="44">
        <v>3689192</v>
      </c>
      <c r="R166" s="21"/>
      <c r="S166" s="21"/>
    </row>
    <row r="167" spans="1:19" s="43" customFormat="1">
      <c r="A167" s="44">
        <v>5</v>
      </c>
      <c r="B167" s="48" t="s">
        <v>324</v>
      </c>
      <c r="C167" s="48">
        <v>0</v>
      </c>
      <c r="D167" s="48">
        <v>3.2686592680596406E-2</v>
      </c>
      <c r="E167" s="48">
        <v>0</v>
      </c>
      <c r="F167" s="44">
        <v>7434864</v>
      </c>
      <c r="G167" s="44">
        <v>5</v>
      </c>
      <c r="H167" s="48" t="s">
        <v>156</v>
      </c>
      <c r="I167" s="48">
        <v>0</v>
      </c>
      <c r="J167" s="48">
        <v>2.5950731324158881E-2</v>
      </c>
      <c r="K167" s="48">
        <v>0</v>
      </c>
      <c r="L167" s="44">
        <v>2480382</v>
      </c>
      <c r="R167" s="21"/>
      <c r="S167" s="21"/>
    </row>
    <row r="168" spans="1:19" s="43" customFormat="1">
      <c r="A168" s="44">
        <v>6</v>
      </c>
      <c r="B168" s="48" t="s">
        <v>165</v>
      </c>
      <c r="C168" s="48">
        <v>0</v>
      </c>
      <c r="D168" s="48">
        <v>0</v>
      </c>
      <c r="E168" s="48">
        <v>0</v>
      </c>
      <c r="F168" s="44">
        <v>11115023</v>
      </c>
      <c r="G168" s="44">
        <v>6</v>
      </c>
      <c r="H168" s="48" t="s">
        <v>322</v>
      </c>
      <c r="I168" s="48">
        <v>0</v>
      </c>
      <c r="J168" s="48">
        <v>0</v>
      </c>
      <c r="K168" s="48">
        <v>0</v>
      </c>
      <c r="L168" s="44">
        <v>1692097</v>
      </c>
      <c r="R168" s="21"/>
      <c r="S168" s="21"/>
    </row>
    <row r="169" spans="1:19" s="43" customFormat="1">
      <c r="A169" s="44">
        <v>7</v>
      </c>
      <c r="B169" s="48" t="s">
        <v>322</v>
      </c>
      <c r="C169" s="48">
        <v>0</v>
      </c>
      <c r="D169" s="48">
        <v>0</v>
      </c>
      <c r="E169" s="48">
        <v>0</v>
      </c>
      <c r="F169" s="44">
        <v>1692097</v>
      </c>
      <c r="G169" s="44">
        <v>7</v>
      </c>
      <c r="H169" s="48" t="s">
        <v>165</v>
      </c>
      <c r="I169" s="48">
        <v>0</v>
      </c>
      <c r="J169" s="48">
        <v>0</v>
      </c>
      <c r="K169" s="48">
        <v>0</v>
      </c>
      <c r="L169" s="44">
        <v>11115023</v>
      </c>
      <c r="R169" s="21"/>
      <c r="S169" s="21"/>
    </row>
    <row r="170" spans="1:19" s="43" customFormat="1">
      <c r="A170" s="44">
        <v>8</v>
      </c>
      <c r="B170" s="48" t="s">
        <v>251</v>
      </c>
      <c r="C170" s="48">
        <v>0</v>
      </c>
      <c r="D170" s="48">
        <v>0.14760450441143536</v>
      </c>
      <c r="E170" s="48">
        <v>0</v>
      </c>
      <c r="F170" s="44">
        <v>5920853</v>
      </c>
      <c r="G170" s="44">
        <v>8</v>
      </c>
      <c r="H170" s="48" t="s">
        <v>251</v>
      </c>
      <c r="I170" s="48">
        <v>0</v>
      </c>
      <c r="J170" s="48">
        <v>0.1054889794603735</v>
      </c>
      <c r="K170" s="48">
        <v>0</v>
      </c>
      <c r="L170" s="44">
        <v>5920853</v>
      </c>
      <c r="R170" s="21"/>
      <c r="S170" s="21"/>
    </row>
    <row r="171" spans="1:19" s="43" customFormat="1">
      <c r="A171" s="44">
        <v>9</v>
      </c>
      <c r="B171" s="48"/>
      <c r="C171" s="48">
        <v>0</v>
      </c>
      <c r="D171" s="48">
        <v>0</v>
      </c>
      <c r="E171" s="48">
        <v>0</v>
      </c>
      <c r="F171" s="44">
        <v>7434864</v>
      </c>
      <c r="G171" s="44">
        <v>9</v>
      </c>
      <c r="H171" s="48"/>
      <c r="I171" s="48">
        <v>0</v>
      </c>
      <c r="J171" s="48">
        <v>0</v>
      </c>
      <c r="K171" s="48">
        <v>0</v>
      </c>
      <c r="L171" s="44">
        <v>7434864</v>
      </c>
      <c r="R171" s="21"/>
      <c r="S171" s="21"/>
    </row>
    <row r="172" spans="1:19" s="43" customFormat="1">
      <c r="A172" s="44">
        <v>10</v>
      </c>
      <c r="B172" s="48"/>
      <c r="C172" s="48">
        <v>0</v>
      </c>
      <c r="D172" s="48">
        <v>0</v>
      </c>
      <c r="E172" s="48">
        <v>0</v>
      </c>
      <c r="F172" s="44">
        <v>7434864</v>
      </c>
      <c r="G172" s="44">
        <v>10</v>
      </c>
      <c r="H172" s="48"/>
      <c r="I172" s="48">
        <v>0</v>
      </c>
      <c r="J172" s="48">
        <v>0</v>
      </c>
      <c r="K172" s="48">
        <v>0</v>
      </c>
      <c r="L172" s="44">
        <v>7434864</v>
      </c>
      <c r="R172" s="21"/>
      <c r="S172" s="21"/>
    </row>
    <row r="173" spans="1:19" s="43" customFormat="1">
      <c r="A173" s="44">
        <v>11</v>
      </c>
      <c r="B173" s="48"/>
      <c r="C173" s="48">
        <v>0</v>
      </c>
      <c r="D173" s="48">
        <v>0</v>
      </c>
      <c r="E173" s="48">
        <v>0</v>
      </c>
      <c r="F173" s="44">
        <v>7434864</v>
      </c>
      <c r="G173" s="44">
        <v>11</v>
      </c>
      <c r="H173" s="48"/>
      <c r="I173" s="48">
        <v>0</v>
      </c>
      <c r="J173" s="48">
        <v>0</v>
      </c>
      <c r="K173" s="48">
        <v>0</v>
      </c>
      <c r="L173" s="44">
        <v>7434864</v>
      </c>
      <c r="R173" s="21"/>
      <c r="S173" s="21"/>
    </row>
    <row r="174" spans="1:19" s="43" customFormat="1">
      <c r="A174" s="44">
        <v>12</v>
      </c>
      <c r="B174" s="48"/>
      <c r="C174" s="48">
        <v>0</v>
      </c>
      <c r="D174" s="48">
        <v>0</v>
      </c>
      <c r="E174" s="48">
        <v>0</v>
      </c>
      <c r="F174" s="44">
        <v>7434864</v>
      </c>
      <c r="G174" s="44">
        <v>12</v>
      </c>
      <c r="H174" s="48"/>
      <c r="I174" s="48">
        <v>0</v>
      </c>
      <c r="J174" s="48">
        <v>0</v>
      </c>
      <c r="K174" s="48">
        <v>0</v>
      </c>
      <c r="L174" s="44">
        <v>7434864</v>
      </c>
      <c r="R174" s="21"/>
      <c r="S174" s="21"/>
    </row>
    <row r="175" spans="1:19" s="43" customFormat="1">
      <c r="A175" s="44">
        <v>13</v>
      </c>
      <c r="B175" s="48"/>
      <c r="C175" s="48">
        <v>0</v>
      </c>
      <c r="D175" s="48">
        <v>0</v>
      </c>
      <c r="E175" s="48">
        <v>0</v>
      </c>
      <c r="F175" s="44">
        <v>7434864</v>
      </c>
      <c r="G175" s="44">
        <v>13</v>
      </c>
      <c r="H175" s="48"/>
      <c r="I175" s="48">
        <v>0</v>
      </c>
      <c r="J175" s="48">
        <v>0</v>
      </c>
      <c r="K175" s="48">
        <v>0</v>
      </c>
      <c r="L175" s="44">
        <v>7434864</v>
      </c>
      <c r="R175" s="21"/>
      <c r="S175" s="21"/>
    </row>
    <row r="176" spans="1:19" s="43" customFormat="1">
      <c r="A176" s="44">
        <v>14</v>
      </c>
      <c r="B176" s="48"/>
      <c r="C176" s="48">
        <v>0</v>
      </c>
      <c r="D176" s="48">
        <v>0</v>
      </c>
      <c r="E176" s="48">
        <v>0</v>
      </c>
      <c r="F176" s="44">
        <v>7434864</v>
      </c>
      <c r="G176" s="44">
        <v>14</v>
      </c>
      <c r="H176" s="48"/>
      <c r="I176" s="48">
        <v>0</v>
      </c>
      <c r="J176" s="48">
        <v>0</v>
      </c>
      <c r="K176" s="48">
        <v>0</v>
      </c>
      <c r="L176" s="44">
        <v>7434864</v>
      </c>
      <c r="R176" s="21"/>
      <c r="S176" s="21"/>
    </row>
    <row r="177" spans="1:19" s="43" customFormat="1">
      <c r="A177" s="44">
        <v>15</v>
      </c>
      <c r="B177" s="48"/>
      <c r="C177" s="48">
        <v>0</v>
      </c>
      <c r="D177" s="48">
        <v>0</v>
      </c>
      <c r="E177" s="48">
        <v>0</v>
      </c>
      <c r="F177" s="44">
        <v>7434864</v>
      </c>
      <c r="G177" s="44">
        <v>15</v>
      </c>
      <c r="H177" s="48"/>
      <c r="I177" s="48">
        <v>0</v>
      </c>
      <c r="J177" s="48">
        <v>0</v>
      </c>
      <c r="K177" s="48">
        <v>0</v>
      </c>
      <c r="L177" s="44">
        <v>7434864</v>
      </c>
      <c r="R177" s="21"/>
      <c r="S177" s="21"/>
    </row>
    <row r="178" spans="1:19" s="43" customFormat="1">
      <c r="A178" s="44">
        <v>16</v>
      </c>
      <c r="B178" s="48"/>
      <c r="C178" s="48">
        <v>0</v>
      </c>
      <c r="D178" s="48">
        <v>0</v>
      </c>
      <c r="E178" s="48">
        <v>0</v>
      </c>
      <c r="F178" s="44">
        <v>7434864</v>
      </c>
      <c r="G178" s="44">
        <v>16</v>
      </c>
      <c r="H178" s="48"/>
      <c r="I178" s="48">
        <v>0</v>
      </c>
      <c r="J178" s="48">
        <v>0</v>
      </c>
      <c r="K178" s="48">
        <v>0</v>
      </c>
      <c r="L178" s="44">
        <v>7434864</v>
      </c>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5B7F080C-D91A-4AF5-AC42-563F23DE5D78}">
      <formula1>$C$113:$C$114</formula1>
    </dataValidation>
  </dataValidations>
  <hyperlinks>
    <hyperlink ref="O1:P1" location="Home_page" display="Back to home page" xr:uid="{A30FC292-7BFC-425F-88F8-19B0046D265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F6F58582-82E4-4367-B9A9-69D308212E9C}">
          <x14:colorSeries rgb="FF323232"/>
          <x14:colorNegative rgb="FFD00000"/>
          <x14:colorAxis rgb="FF000000"/>
          <x14:colorMarkers rgb="FFD00000"/>
          <x14:colorFirst rgb="FFD00000"/>
          <x14:colorLast rgb="FFD00000"/>
          <x14:colorHigh rgb="FFD00000"/>
          <x14:colorLow rgb="FFD00000"/>
          <x14:sparklines>
            <x14:sparkline>
              <xm:f>'Area VIIb-k trawlers 24-40m'!D3:N3</xm:f>
              <xm:sqref>C3</xm:sqref>
            </x14:sparkline>
            <x14:sparkline>
              <xm:f>'Area VIIb-k trawlers 24-40m'!D4:N4</xm:f>
              <xm:sqref>C4</xm:sqref>
            </x14:sparkline>
            <x14:sparkline>
              <xm:f>'Area VIIb-k trawlers 24-40m'!D5:N5</xm:f>
              <xm:sqref>C5</xm:sqref>
            </x14:sparkline>
            <x14:sparkline>
              <xm:f>'Area VIIb-k trawlers 24-40m'!D6:N6</xm:f>
              <xm:sqref>C6</xm:sqref>
            </x14:sparkline>
            <x14:sparkline>
              <xm:f>'Area VIIb-k trawlers 24-40m'!D7:N7</xm:f>
              <xm:sqref>C7</xm:sqref>
            </x14:sparkline>
            <x14:sparkline>
              <xm:f>'Area VIIb-k trawlers 24-40m'!D8:N8</xm:f>
              <xm:sqref>C8</xm:sqref>
            </x14:sparkline>
            <x14:sparkline>
              <xm:f>'Area VIIb-k trawlers 24-40m'!D9:N9</xm:f>
              <xm:sqref>C9</xm:sqref>
            </x14:sparkline>
            <x14:sparkline>
              <xm:f>'Area VIIb-k trawlers 24-40m'!D10:N10</xm:f>
              <xm:sqref>C10</xm:sqref>
            </x14:sparkline>
            <x14:sparkline>
              <xm:f>'Area VIIb-k trawlers 24-40m'!D11:N11</xm:f>
              <xm:sqref>C11</xm:sqref>
            </x14:sparkline>
            <x14:sparkline>
              <xm:f>'Area VIIb-k trawlers 24-40m'!D12:N12</xm:f>
              <xm:sqref>C12</xm:sqref>
            </x14:sparkline>
            <x14:sparkline>
              <xm:f>'Area VIIb-k trawlers 24-40m'!D13:N13</xm:f>
              <xm:sqref>C13</xm:sqref>
            </x14:sparkline>
            <x14:sparkline>
              <xm:f>'Area VIIb-k trawlers 24-40m'!D14:N14</xm:f>
              <xm:sqref>C14</xm:sqref>
            </x14:sparkline>
            <x14:sparkline>
              <xm:f>'Area VIIb-k trawlers 24-40m'!D15:N15</xm:f>
              <xm:sqref>C15</xm:sqref>
            </x14:sparkline>
            <x14:sparkline>
              <xm:f>'Area VIIb-k trawlers 24-40m'!D16:N16</xm:f>
              <xm:sqref>C16</xm:sqref>
            </x14:sparkline>
            <x14:sparkline>
              <xm:f>'Area VIIb-k trawlers 24-40m'!D17:N17</xm:f>
              <xm:sqref>C17</xm:sqref>
            </x14:sparkline>
            <x14:sparkline>
              <xm:f>'Area VIIb-k trawlers 24-40m'!D18:N18</xm:f>
              <xm:sqref>C18</xm:sqref>
            </x14:sparkline>
            <x14:sparkline>
              <xm:f>'Area VIIb-k trawlers 24-40m'!D19:N19</xm:f>
              <xm:sqref>C19</xm:sqref>
            </x14:sparkline>
            <x14:sparkline>
              <xm:f>'Area VIIb-k trawlers 24-40m'!D20:N20</xm:f>
              <xm:sqref>C20</xm:sqref>
            </x14:sparkline>
            <x14:sparkline>
              <xm:f>'Area VIIb-k trawlers 24-40m'!D21:N21</xm:f>
              <xm:sqref>C21</xm:sqref>
            </x14:sparkline>
            <x14:sparkline>
              <xm:f>'Area VIIb-k trawlers 24-40m'!D22:N22</xm:f>
              <xm:sqref>C22</xm:sqref>
            </x14:sparkline>
            <x14:sparkline>
              <xm:f>'Area VIIb-k trawlers 24-40m'!D23:N23</xm:f>
              <xm:sqref>C23</xm:sqref>
            </x14:sparkline>
            <x14:sparkline>
              <xm:f>'Area VIIb-k trawlers 24-40m'!D24:N24</xm:f>
              <xm:sqref>C24</xm:sqref>
            </x14:sparkline>
            <x14:sparkline>
              <xm:f>'Area VIIb-k trawlers 24-40m'!D25:N25</xm:f>
              <xm:sqref>C25</xm:sqref>
            </x14:sparkline>
            <x14:sparkline>
              <xm:f>'Area VIIb-k trawlers 24-40m'!D26:N26</xm:f>
              <xm:sqref>C26</xm:sqref>
            </x14:sparkline>
            <x14:sparkline>
              <xm:f>'Area VIIb-k trawlers 24-40m'!D27:N27</xm:f>
              <xm:sqref>C27</xm:sqref>
            </x14:sparkline>
            <x14:sparkline>
              <xm:f>'Area VIIb-k trawlers 24-40m'!D28:N28</xm:f>
              <xm:sqref>C28</xm:sqref>
            </x14:sparkline>
            <x14:sparkline>
              <xm:f>'Area VIIb-k trawlers 24-40m'!D29:N29</xm:f>
              <xm:sqref>C29</xm:sqref>
            </x14:sparkline>
            <x14:sparkline>
              <xm:f>'Area VIIb-k trawlers 24-40m'!D30:N30</xm:f>
              <xm:sqref>C30</xm:sqref>
            </x14:sparkline>
            <x14:sparkline>
              <xm:f>'Area VIIb-k trawlers 24-40m'!D31:N31</xm:f>
              <xm:sqref>C31</xm:sqref>
            </x14:sparkline>
            <x14:sparkline>
              <xm:f>'Area VIIb-k trawlers 24-40m'!D32:N32</xm:f>
              <xm:sqref>C32</xm:sqref>
            </x14:sparkline>
            <x14:sparkline>
              <xm:f>'Area VIIb-k trawlers 24-40m'!D33:N33</xm:f>
              <xm:sqref>C33</xm:sqref>
            </x14:sparkline>
            <x14:sparkline>
              <xm:f>'Area VIIb-k trawlers 24-40m'!D34:N34</xm:f>
              <xm:sqref>C34</xm:sqref>
            </x14:sparkline>
            <x14:sparkline>
              <xm:f>'Area VIIb-k trawlers 24-40m'!D35:N35</xm:f>
              <xm:sqref>C35</xm:sqref>
            </x14:sparkline>
            <x14:sparkline>
              <xm:f>'Area VIIb-k trawlers 24-40m'!D36:N36</xm:f>
              <xm:sqref>C36</xm:sqref>
            </x14:sparkline>
            <x14:sparkline>
              <xm:f>'Area VIIb-k trawlers 24-40m'!D37:N37</xm:f>
              <xm:sqref>C37</xm:sqref>
            </x14:sparkline>
            <x14:sparkline>
              <xm:f>'Area VIIb-k trawlers 24-40m'!D38:N38</xm:f>
              <xm:sqref>C38</xm:sqref>
            </x14:sparkline>
            <x14:sparkline>
              <xm:f>'Area VIIb-k trawlers 24-40m'!D39:N39</xm:f>
              <xm:sqref>C39</xm:sqref>
            </x14:sparkline>
            <x14:sparkline>
              <xm:f>'Area VIIb-k trawlers 24-40m'!D40:N40</xm:f>
              <xm:sqref>C40</xm:sqref>
            </x14:sparkline>
            <x14:sparkline>
              <xm:f>'Area VIIb-k trawlers 24-40m'!D41:N41</xm:f>
              <xm:sqref>C41</xm:sqref>
            </x14:sparkline>
            <x14:sparkline>
              <xm:f>'Area VIIb-k trawlers 24-40m'!D42:N42</xm:f>
              <xm:sqref>C42</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5B2C1-1507-4ECE-A2D8-9A16ACA76D80}">
  <sheetPr codeName="Feuil10">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14</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60</v>
      </c>
      <c r="E3" s="28">
        <v>61</v>
      </c>
      <c r="F3" s="28">
        <v>65</v>
      </c>
      <c r="G3" s="28">
        <v>68</v>
      </c>
      <c r="H3" s="28">
        <v>63</v>
      </c>
      <c r="I3" s="28">
        <v>61</v>
      </c>
      <c r="J3" s="28">
        <v>59</v>
      </c>
      <c r="K3" s="28">
        <v>54</v>
      </c>
      <c r="L3" s="28">
        <v>47</v>
      </c>
      <c r="M3" s="28">
        <v>44</v>
      </c>
      <c r="N3" s="28">
        <v>45</v>
      </c>
      <c r="O3" s="29">
        <f t="shared" ref="O3:O42" si="0">IF(N3=0,"",IFERROR(IF(AND(N3&gt;0,D3&lt;0),"na",IF(AND(N3&lt;0,D3&lt;0),-1,1)*(N3-D3)/D3),""))</f>
        <v>-0.25</v>
      </c>
      <c r="P3" s="29">
        <f t="shared" ref="P3:P42" si="1">IF(N3=0,"",IFERROR(IF(AND(N3&gt;0,J3&lt;0),"na",IF(AND(N3&lt;0,J3&lt;0),-1,1)*(N3-J3)/J3),""))</f>
        <v>-0.23728813559322035</v>
      </c>
    </row>
    <row r="4" spans="1:17" ht="18" customHeight="1">
      <c r="A4" s="185"/>
      <c r="B4" s="30" t="s">
        <v>190</v>
      </c>
      <c r="C4" s="31"/>
      <c r="D4" s="31">
        <v>12016</v>
      </c>
      <c r="E4" s="31">
        <v>11811</v>
      </c>
      <c r="F4" s="31">
        <v>12482</v>
      </c>
      <c r="G4" s="31">
        <v>13162</v>
      </c>
      <c r="H4" s="31">
        <v>12811</v>
      </c>
      <c r="I4" s="31">
        <v>11641</v>
      </c>
      <c r="J4" s="31">
        <v>11689</v>
      </c>
      <c r="K4" s="31">
        <v>10149</v>
      </c>
      <c r="L4" s="31">
        <v>9376</v>
      </c>
      <c r="M4" s="31">
        <v>8362</v>
      </c>
      <c r="N4" s="31">
        <v>9578</v>
      </c>
      <c r="O4" s="29">
        <f t="shared" si="0"/>
        <v>-0.20289613848202398</v>
      </c>
      <c r="P4" s="29">
        <f t="shared" si="1"/>
        <v>-0.18059714261271281</v>
      </c>
    </row>
    <row r="5" spans="1:17" ht="18" customHeight="1">
      <c r="A5" s="185"/>
      <c r="B5" s="30" t="s">
        <v>191</v>
      </c>
      <c r="C5" s="31"/>
      <c r="D5" s="31">
        <v>2312</v>
      </c>
      <c r="E5" s="31">
        <v>2332</v>
      </c>
      <c r="F5" s="31">
        <v>2182</v>
      </c>
      <c r="G5" s="31">
        <v>2189</v>
      </c>
      <c r="H5" s="31">
        <v>2235</v>
      </c>
      <c r="I5" s="31">
        <v>1880</v>
      </c>
      <c r="J5" s="31">
        <v>2084</v>
      </c>
      <c r="K5" s="31">
        <v>1711</v>
      </c>
      <c r="L5" s="31">
        <v>1428</v>
      </c>
      <c r="M5" s="31">
        <v>1183</v>
      </c>
      <c r="N5" s="31">
        <v>1585</v>
      </c>
      <c r="O5" s="29">
        <f t="shared" si="0"/>
        <v>-0.31444636678200694</v>
      </c>
      <c r="P5" s="29">
        <f t="shared" si="1"/>
        <v>-0.23944337811900193</v>
      </c>
      <c r="Q5" s="32"/>
    </row>
    <row r="6" spans="1:17" ht="18" customHeight="1">
      <c r="A6" s="185"/>
      <c r="B6" s="30" t="s">
        <v>192</v>
      </c>
      <c r="C6" s="31"/>
      <c r="D6" s="31">
        <v>9653.83984375</v>
      </c>
      <c r="E6" s="31">
        <v>9643.0751953125</v>
      </c>
      <c r="F6" s="31">
        <v>10004.26171875</v>
      </c>
      <c r="G6" s="31">
        <v>10404.2978515625</v>
      </c>
      <c r="H6" s="31">
        <v>10006.4755859375</v>
      </c>
      <c r="I6" s="31">
        <v>9243.576171875</v>
      </c>
      <c r="J6" s="31">
        <v>9243.126953125</v>
      </c>
      <c r="K6" s="31">
        <v>8092.45361328125</v>
      </c>
      <c r="L6" s="31">
        <v>7315.97998046875</v>
      </c>
      <c r="M6" s="31">
        <v>6514.6484375</v>
      </c>
      <c r="N6" s="31">
        <v>7414.91259765625</v>
      </c>
      <c r="O6" s="29">
        <f t="shared" si="0"/>
        <v>-0.23192090218310962</v>
      </c>
      <c r="P6" s="29">
        <f t="shared" si="1"/>
        <v>-0.19779176081214062</v>
      </c>
    </row>
    <row r="7" spans="1:17" ht="18" customHeight="1">
      <c r="A7" s="185"/>
      <c r="B7" s="30" t="s">
        <v>193</v>
      </c>
      <c r="C7" s="31"/>
      <c r="D7" s="31">
        <v>11317.41015625</v>
      </c>
      <c r="E7" s="31">
        <v>10007.3603515625</v>
      </c>
      <c r="F7" s="31">
        <v>9938.84375</v>
      </c>
      <c r="G7" s="31">
        <v>8740.443359375</v>
      </c>
      <c r="H7" s="31">
        <v>9578.2529296875</v>
      </c>
      <c r="I7" s="31">
        <v>8380.6474609375</v>
      </c>
      <c r="J7" s="31">
        <v>6787.98193359375</v>
      </c>
      <c r="K7" s="31">
        <v>5865.54296875</v>
      </c>
      <c r="L7" s="31">
        <v>4128.39501953125</v>
      </c>
      <c r="M7" s="31">
        <v>3296.269287109375</v>
      </c>
      <c r="N7" s="31">
        <v>3463.309814453125</v>
      </c>
      <c r="O7" s="29">
        <f t="shared" si="0"/>
        <v>-0.69398389148770712</v>
      </c>
      <c r="P7" s="29">
        <f t="shared" si="1"/>
        <v>-0.48978800351350515</v>
      </c>
    </row>
    <row r="8" spans="1:17" ht="18" customHeight="1">
      <c r="A8" s="185"/>
      <c r="B8" s="30" t="s">
        <v>194</v>
      </c>
      <c r="C8" s="33"/>
      <c r="D8" s="33">
        <f ca="1">18.587908*OFFSET(D$113,MATCH($N$1,$C$113:$C$114,0)-1,0)</f>
        <v>18.587907999999999</v>
      </c>
      <c r="E8" s="33">
        <f ca="1">17.680352*OFFSET(E$113,MATCH($N$1,$C$113:$C$114,0)-1,0)</f>
        <v>17.680351999999999</v>
      </c>
      <c r="F8" s="33">
        <f ca="1">18.679706*OFFSET(F$113,MATCH($N$1,$C$113:$C$114,0)-1,0)</f>
        <v>18.679705999999999</v>
      </c>
      <c r="G8" s="33">
        <f ca="1">17.054024*OFFSET(G$113,MATCH($N$1,$C$113:$C$114,0)-1,0)</f>
        <v>17.054023999999998</v>
      </c>
      <c r="H8" s="33">
        <f ca="1">18.59498*OFFSET(H$113,MATCH($N$1,$C$113:$C$114,0)-1,0)</f>
        <v>18.59498</v>
      </c>
      <c r="I8" s="33">
        <f ca="1">20.305364*OFFSET(I$113,MATCH($N$1,$C$113:$C$114,0)-1,0)</f>
        <v>20.305364000000001</v>
      </c>
      <c r="J8" s="33">
        <f ca="1">13.20437*OFFSET(J$113,MATCH($N$1,$C$113:$C$114,0)-1,0)</f>
        <v>13.204370000000001</v>
      </c>
      <c r="K8" s="33">
        <f ca="1">12.808243*OFFSET(K$113,MATCH($N$1,$C$113:$C$114,0)-1,0)</f>
        <v>12.808242999999999</v>
      </c>
      <c r="L8" s="33">
        <f ca="1">7.45843*OFFSET(L$113,MATCH($N$1,$C$113:$C$114,0)-1,0)</f>
        <v>7.4584299999999999</v>
      </c>
      <c r="M8" s="33">
        <f ca="1">8.29393*OFFSET(M$113,MATCH($N$1,$C$113:$C$114,0)-1,0)</f>
        <v>8.2939299999999996</v>
      </c>
      <c r="N8" s="33">
        <v>11.051933</v>
      </c>
      <c r="O8" s="29">
        <f t="shared" ca="1" si="0"/>
        <v>-0.40542351511531038</v>
      </c>
      <c r="P8" s="29">
        <f t="shared" ca="1" si="1"/>
        <v>-0.16300944308588752</v>
      </c>
    </row>
    <row r="9" spans="1:17" ht="18" customHeight="1">
      <c r="A9" s="185"/>
      <c r="B9" s="30" t="s">
        <v>195</v>
      </c>
      <c r="C9" s="31"/>
      <c r="D9" s="31">
        <v>9836</v>
      </c>
      <c r="E9" s="31">
        <v>10085</v>
      </c>
      <c r="F9" s="31">
        <v>10615</v>
      </c>
      <c r="G9" s="31">
        <v>10163</v>
      </c>
      <c r="H9" s="31">
        <v>10701</v>
      </c>
      <c r="I9" s="31">
        <v>9853</v>
      </c>
      <c r="J9" s="31">
        <v>8567</v>
      </c>
      <c r="K9" s="31">
        <v>8076</v>
      </c>
      <c r="L9" s="31">
        <v>5693</v>
      </c>
      <c r="M9" s="31">
        <v>6140</v>
      </c>
      <c r="N9" s="31">
        <v>6350</v>
      </c>
      <c r="O9" s="29">
        <f t="shared" si="0"/>
        <v>-0.354412362749085</v>
      </c>
      <c r="P9" s="29">
        <f t="shared" si="1"/>
        <v>-0.25878370491420566</v>
      </c>
    </row>
    <row r="10" spans="1:17" ht="18" customHeight="1">
      <c r="A10" s="185"/>
      <c r="B10" s="30" t="s">
        <v>196</v>
      </c>
      <c r="C10" s="31"/>
      <c r="D10" s="31">
        <v>4456.2</v>
      </c>
      <c r="E10" s="31">
        <v>4588.8</v>
      </c>
      <c r="F10" s="31">
        <v>4802.3</v>
      </c>
      <c r="G10" s="31">
        <v>4621.2</v>
      </c>
      <c r="H10" s="31">
        <v>4841.4000000000005</v>
      </c>
      <c r="I10" s="31">
        <v>4449.1000000000004</v>
      </c>
      <c r="J10" s="31">
        <v>3869.2000000000003</v>
      </c>
      <c r="K10" s="31">
        <v>3629.3</v>
      </c>
      <c r="L10" s="31">
        <v>2585.5</v>
      </c>
      <c r="M10" s="31">
        <v>2735.5</v>
      </c>
      <c r="N10" s="31">
        <v>2859.6</v>
      </c>
      <c r="O10" s="29">
        <f t="shared" si="0"/>
        <v>-0.35828733001211793</v>
      </c>
      <c r="P10" s="29">
        <f t="shared" si="1"/>
        <v>-0.26093249250491063</v>
      </c>
    </row>
    <row r="11" spans="1:17" ht="18" customHeight="1">
      <c r="A11" s="185"/>
      <c r="B11" s="30" t="s">
        <v>197</v>
      </c>
      <c r="C11" s="31"/>
      <c r="D11" s="31">
        <v>238.10977172851563</v>
      </c>
      <c r="E11" s="31">
        <v>200.31622314453125</v>
      </c>
      <c r="F11" s="31">
        <v>200.90533447265625</v>
      </c>
      <c r="G11" s="31">
        <v>175.09927368164063</v>
      </c>
      <c r="H11" s="31">
        <v>224.43647766113281</v>
      </c>
      <c r="I11" s="31">
        <v>190.71620178222656</v>
      </c>
      <c r="J11" s="31">
        <v>181.68316650390625</v>
      </c>
      <c r="K11" s="31">
        <v>144.89767456054688</v>
      </c>
      <c r="L11" s="31">
        <v>119.37410736083984</v>
      </c>
      <c r="M11" s="31">
        <v>79.964668273925781</v>
      </c>
      <c r="N11" s="31">
        <v>91.015602111816406</v>
      </c>
      <c r="O11" s="34">
        <f t="shared" si="0"/>
        <v>-0.61775780367557032</v>
      </c>
      <c r="P11" s="34">
        <f t="shared" si="1"/>
        <v>-0.49904218501244835</v>
      </c>
    </row>
    <row r="12" spans="1:17" ht="18" customHeight="1">
      <c r="A12" s="186" t="s">
        <v>198</v>
      </c>
      <c r="B12" s="35" t="s">
        <v>199</v>
      </c>
      <c r="C12" s="36"/>
      <c r="D12" s="36">
        <v>13.61199951171875</v>
      </c>
      <c r="E12" s="36">
        <v>13.61983585357666</v>
      </c>
      <c r="F12" s="36">
        <v>13.229077339172363</v>
      </c>
      <c r="G12" s="36">
        <v>13.075588226318359</v>
      </c>
      <c r="H12" s="36">
        <v>13.191587448120117</v>
      </c>
      <c r="I12" s="36">
        <v>12.953934669494629</v>
      </c>
      <c r="J12" s="36">
        <v>13.153559684753418</v>
      </c>
      <c r="K12" s="36">
        <v>12.924629211425781</v>
      </c>
      <c r="L12" s="36">
        <v>12.946596145629883</v>
      </c>
      <c r="M12" s="36">
        <v>12.505681991577148</v>
      </c>
      <c r="N12" s="36">
        <v>13.135333061218262</v>
      </c>
      <c r="O12" s="29">
        <f t="shared" si="0"/>
        <v>-3.5018106641138198E-2</v>
      </c>
      <c r="P12" s="29">
        <f t="shared" si="1"/>
        <v>-1.385679920263952E-3</v>
      </c>
    </row>
    <row r="13" spans="1:17" ht="18" customHeight="1">
      <c r="A13" s="187"/>
      <c r="B13" s="37" t="s">
        <v>190</v>
      </c>
      <c r="C13" s="31"/>
      <c r="D13" s="31">
        <v>200.26666259765625</v>
      </c>
      <c r="E13" s="31">
        <v>193.62295532226563</v>
      </c>
      <c r="F13" s="31">
        <v>192.03076171875</v>
      </c>
      <c r="G13" s="31">
        <v>193.55882263183594</v>
      </c>
      <c r="H13" s="31">
        <v>203.34921264648438</v>
      </c>
      <c r="I13" s="31">
        <v>190.8360595703125</v>
      </c>
      <c r="J13" s="31">
        <v>198.11863708496094</v>
      </c>
      <c r="K13" s="31">
        <v>187.94444274902344</v>
      </c>
      <c r="L13" s="31">
        <v>199.48936462402344</v>
      </c>
      <c r="M13" s="31">
        <v>190.04545593261719</v>
      </c>
      <c r="N13" s="31">
        <v>212.84445190429688</v>
      </c>
      <c r="O13" s="29">
        <f t="shared" si="0"/>
        <v>6.2805207534265994E-2</v>
      </c>
      <c r="P13" s="29">
        <f t="shared" si="1"/>
        <v>7.4328266315606337E-2</v>
      </c>
    </row>
    <row r="14" spans="1:17" ht="18" customHeight="1">
      <c r="A14" s="187"/>
      <c r="B14" s="37" t="s">
        <v>191</v>
      </c>
      <c r="C14" s="31"/>
      <c r="D14" s="31">
        <v>38.533332824707031</v>
      </c>
      <c r="E14" s="31">
        <v>38.229507446289063</v>
      </c>
      <c r="F14" s="31">
        <v>33.569229125976563</v>
      </c>
      <c r="G14" s="31">
        <v>32.191177368164063</v>
      </c>
      <c r="H14" s="31">
        <v>35.476188659667969</v>
      </c>
      <c r="I14" s="31">
        <v>30.819671630859375</v>
      </c>
      <c r="J14" s="31">
        <v>35.322032928466797</v>
      </c>
      <c r="K14" s="31">
        <v>31.685184478759766</v>
      </c>
      <c r="L14" s="31">
        <v>30.382978439331055</v>
      </c>
      <c r="M14" s="31">
        <v>26.886363983154297</v>
      </c>
      <c r="N14" s="31">
        <v>35.222221374511719</v>
      </c>
      <c r="O14" s="29">
        <f t="shared" si="0"/>
        <v>-8.5928498976664547E-2</v>
      </c>
      <c r="P14" s="29">
        <f t="shared" si="1"/>
        <v>-2.8257590427259302E-3</v>
      </c>
    </row>
    <row r="15" spans="1:17" ht="18" customHeight="1">
      <c r="A15" s="187"/>
      <c r="B15" s="37" t="s">
        <v>192</v>
      </c>
      <c r="C15" s="31"/>
      <c r="D15" s="31">
        <v>160.89732360839844</v>
      </c>
      <c r="E15" s="31">
        <v>158.08319091796875</v>
      </c>
      <c r="F15" s="31">
        <v>153.91171264648438</v>
      </c>
      <c r="G15" s="31">
        <v>153.00437927246094</v>
      </c>
      <c r="H15" s="31">
        <v>158.83294677734375</v>
      </c>
      <c r="I15" s="31">
        <v>151.53402709960938</v>
      </c>
      <c r="J15" s="31">
        <v>156.66317749023438</v>
      </c>
      <c r="K15" s="31">
        <v>149.86024475097656</v>
      </c>
      <c r="L15" s="31">
        <v>155.65914916992188</v>
      </c>
      <c r="M15" s="31">
        <v>148.06019592285156</v>
      </c>
      <c r="N15" s="31">
        <v>164.77583312988281</v>
      </c>
      <c r="O15" s="29">
        <f t="shared" si="0"/>
        <v>2.4105494327078581E-2</v>
      </c>
      <c r="P15" s="29">
        <f t="shared" si="1"/>
        <v>5.1784061638569419E-2</v>
      </c>
    </row>
    <row r="16" spans="1:17" ht="18" customHeight="1">
      <c r="A16" s="187"/>
      <c r="B16" s="37" t="s">
        <v>193</v>
      </c>
      <c r="C16" s="33"/>
      <c r="D16" s="33">
        <v>188.62350463867188</v>
      </c>
      <c r="E16" s="33">
        <v>164.05508422851563</v>
      </c>
      <c r="F16" s="33">
        <v>152.90528869628906</v>
      </c>
      <c r="G16" s="33">
        <v>128.53593444824219</v>
      </c>
      <c r="H16" s="33">
        <v>152.03575134277344</v>
      </c>
      <c r="I16" s="33">
        <v>137.38766479492188</v>
      </c>
      <c r="J16" s="33">
        <v>115.05054473876953</v>
      </c>
      <c r="K16" s="33">
        <v>108.62117004394531</v>
      </c>
      <c r="L16" s="33">
        <v>87.838188171386719</v>
      </c>
      <c r="M16" s="33">
        <v>74.915214538574219</v>
      </c>
      <c r="N16" s="33">
        <v>76.962440490722656</v>
      </c>
      <c r="O16" s="29">
        <f t="shared" si="0"/>
        <v>-0.59197852548571672</v>
      </c>
      <c r="P16" s="29">
        <f t="shared" si="1"/>
        <v>-0.3310554012110819</v>
      </c>
    </row>
    <row r="17" spans="1:16" ht="18" customHeight="1">
      <c r="A17" s="187"/>
      <c r="B17" s="37" t="s">
        <v>200</v>
      </c>
      <c r="C17" s="33"/>
      <c r="D17" s="33">
        <f ca="1">309.79846875*OFFSET(D$113,MATCH($N$1,$C$113:$C$114,0)-1,0)</f>
        <v>309.79846874999998</v>
      </c>
      <c r="E17" s="33">
        <f ca="1">289.8418125*OFFSET(E$113,MATCH($N$1,$C$113:$C$114,0)-1,0)</f>
        <v>289.8418125</v>
      </c>
      <c r="F17" s="33">
        <f ca="1">287.38009375*OFFSET(F$113,MATCH($N$1,$C$113:$C$114,0)-1,0)</f>
        <v>287.38009375000001</v>
      </c>
      <c r="G17" s="33">
        <f ca="1">250.794484375*OFFSET(G$113,MATCH($N$1,$C$113:$C$114,0)-1,0)</f>
        <v>250.794484375</v>
      </c>
      <c r="H17" s="33">
        <f ca="1">295.15840625*OFFSET(H$113,MATCH($N$1,$C$113:$C$114,0)-1,0)</f>
        <v>295.15840624999998</v>
      </c>
      <c r="I17" s="33">
        <f ca="1">332.87484375*OFFSET(I$113,MATCH($N$1,$C$113:$C$114,0)-1,0)</f>
        <v>332.87484375000003</v>
      </c>
      <c r="J17" s="33">
        <f ca="1">223.802890625*OFFSET(J$113,MATCH($N$1,$C$113:$C$114,0)-1,0)</f>
        <v>223.802890625</v>
      </c>
      <c r="K17" s="33">
        <f ca="1">237.1896875*OFFSET(K$113,MATCH($N$1,$C$113:$C$114,0)-1,0)</f>
        <v>237.18968749999999</v>
      </c>
      <c r="L17" s="33">
        <f ca="1">158.69*OFFSET(L$113,MATCH($N$1,$C$113:$C$114,0)-1,0)</f>
        <v>158.69</v>
      </c>
      <c r="M17" s="33">
        <f ca="1">188.49840625*OFFSET(M$113,MATCH($N$1,$C$113:$C$114,0)-1,0)</f>
        <v>188.49840624999999</v>
      </c>
      <c r="N17" s="33">
        <v>245.598515625</v>
      </c>
      <c r="O17" s="29">
        <f t="shared" ca="1" si="0"/>
        <v>-0.20723134424788853</v>
      </c>
      <c r="P17" s="29">
        <f t="shared" ca="1" si="1"/>
        <v>9.7387593784569779E-2</v>
      </c>
    </row>
    <row r="18" spans="1:16" ht="18" customHeight="1">
      <c r="A18" s="187"/>
      <c r="B18" s="37" t="s">
        <v>195</v>
      </c>
      <c r="C18" s="31"/>
      <c r="D18" s="31">
        <v>163.93333435058594</v>
      </c>
      <c r="E18" s="31">
        <v>165.32786560058594</v>
      </c>
      <c r="F18" s="31">
        <v>163.30769348144531</v>
      </c>
      <c r="G18" s="31">
        <v>149.45588684082031</v>
      </c>
      <c r="H18" s="31">
        <v>169.85714721679688</v>
      </c>
      <c r="I18" s="31">
        <v>161.52459716796875</v>
      </c>
      <c r="J18" s="31">
        <v>145.20338439941406</v>
      </c>
      <c r="K18" s="31">
        <v>149.55555725097656</v>
      </c>
      <c r="L18" s="31">
        <v>121.12766265869141</v>
      </c>
      <c r="M18" s="31">
        <v>139.54545593261719</v>
      </c>
      <c r="N18" s="31">
        <v>141.11111450195313</v>
      </c>
      <c r="O18" s="29">
        <f t="shared" si="0"/>
        <v>-0.13921646832257725</v>
      </c>
      <c r="P18" s="29">
        <f t="shared" si="1"/>
        <v>-2.8183020074823071E-2</v>
      </c>
    </row>
    <row r="19" spans="1:16" ht="18" customHeight="1">
      <c r="A19" s="187"/>
      <c r="B19" s="37" t="s">
        <v>201</v>
      </c>
      <c r="C19" s="31"/>
      <c r="D19" s="31">
        <v>26.549999237060547</v>
      </c>
      <c r="E19" s="31">
        <v>26.786884307861328</v>
      </c>
      <c r="F19" s="31">
        <v>26.492307662963867</v>
      </c>
      <c r="G19" s="31">
        <v>26.514705657958984</v>
      </c>
      <c r="H19" s="31">
        <v>25.761905670166016</v>
      </c>
      <c r="I19" s="31">
        <v>26.704917907714844</v>
      </c>
      <c r="J19" s="31">
        <v>27.762712478637695</v>
      </c>
      <c r="K19" s="31">
        <v>29.666666030883789</v>
      </c>
      <c r="L19" s="31">
        <v>28.234043121337891</v>
      </c>
      <c r="M19" s="31">
        <v>27.431818008422852</v>
      </c>
      <c r="N19" s="31">
        <v>27.666666030883789</v>
      </c>
      <c r="O19" s="29">
        <f t="shared" si="0"/>
        <v>4.2059014158633654E-2</v>
      </c>
      <c r="P19" s="29">
        <f t="shared" si="1"/>
        <v>-3.4595484078801804E-3</v>
      </c>
    </row>
    <row r="20" spans="1:16" ht="18" customHeight="1">
      <c r="A20" s="187"/>
      <c r="B20" s="37" t="s">
        <v>202</v>
      </c>
      <c r="C20" s="38"/>
      <c r="D20" s="38">
        <v>1.1506110429763794</v>
      </c>
      <c r="E20" s="38">
        <v>0.99230146408081055</v>
      </c>
      <c r="F20" s="38">
        <v>0.9363018274307251</v>
      </c>
      <c r="G20" s="38">
        <v>0.86002588272094727</v>
      </c>
      <c r="H20" s="38">
        <v>0.8950800895690918</v>
      </c>
      <c r="I20" s="38">
        <v>0.85056805610656738</v>
      </c>
      <c r="J20" s="38">
        <v>0.79234063625335693</v>
      </c>
      <c r="K20" s="38">
        <v>0.72629308700561523</v>
      </c>
      <c r="L20" s="38">
        <v>0.7251703143119812</v>
      </c>
      <c r="M20" s="38">
        <v>0.53685170412063599</v>
      </c>
      <c r="N20" s="38">
        <v>0.5454031229019165</v>
      </c>
      <c r="O20" s="29">
        <f t="shared" si="0"/>
        <v>-0.52598827707139173</v>
      </c>
      <c r="P20" s="29">
        <f t="shared" si="1"/>
        <v>-0.31165574760762399</v>
      </c>
    </row>
    <row r="21" spans="1:16" ht="18" customHeight="1">
      <c r="A21" s="188"/>
      <c r="B21" s="39" t="s">
        <v>203</v>
      </c>
      <c r="C21" s="40"/>
      <c r="D21" s="40">
        <f ca="1">1642*OFFSET(D$113,MATCH($N$1,$C$113:$C$114,0)-1,0)</f>
        <v>1642</v>
      </c>
      <c r="E21" s="40">
        <f ca="1">1767*OFFSET(E$113,MATCH($N$1,$C$113:$C$114,0)-1,0)</f>
        <v>1767</v>
      </c>
      <c r="F21" s="40">
        <f ca="1">1879*OFFSET(F$113,MATCH($N$1,$C$113:$C$114,0)-1,0)</f>
        <v>1879</v>
      </c>
      <c r="G21" s="40">
        <f ca="1">1951*OFFSET(G$113,MATCH($N$1,$C$113:$C$114,0)-1,0)</f>
        <v>1951</v>
      </c>
      <c r="H21" s="40">
        <f ca="1">1941*OFFSET(H$113,MATCH($N$1,$C$113:$C$114,0)-1,0)</f>
        <v>1941</v>
      </c>
      <c r="I21" s="40">
        <f ca="1">2423*OFFSET(I$113,MATCH($N$1,$C$113:$C$114,0)-1,0)</f>
        <v>2423</v>
      </c>
      <c r="J21" s="40">
        <f ca="1">1945*OFFSET(J$113,MATCH($N$1,$C$113:$C$114,0)-1,0)</f>
        <v>1945</v>
      </c>
      <c r="K21" s="40">
        <f ca="1">2184*OFFSET(K$113,MATCH($N$1,$C$113:$C$114,0)-1,0)</f>
        <v>2184</v>
      </c>
      <c r="L21" s="40">
        <f ca="1">1807*OFFSET(L$113,MATCH($N$1,$C$113:$C$114,0)-1,0)</f>
        <v>1807</v>
      </c>
      <c r="M21" s="40">
        <f ca="1">2516*OFFSET(M$113,MATCH($N$1,$C$113:$C$114,0)-1,0)</f>
        <v>2516</v>
      </c>
      <c r="N21" s="40">
        <v>3191</v>
      </c>
      <c r="O21" s="34">
        <f t="shared" ca="1" si="0"/>
        <v>0.94336175395858712</v>
      </c>
      <c r="P21" s="34">
        <f t="shared" ca="1" si="1"/>
        <v>0.64061696658097689</v>
      </c>
    </row>
    <row r="22" spans="1:16" ht="18" customHeight="1">
      <c r="A22" s="189" t="s">
        <v>204</v>
      </c>
      <c r="B22" s="35" t="s">
        <v>205</v>
      </c>
      <c r="C22" s="41"/>
      <c r="D22" s="41">
        <v>5.4069471207733537</v>
      </c>
      <c r="E22" s="41">
        <v>4.8627880970355344</v>
      </c>
      <c r="F22" s="41">
        <v>4.6352351020909133</v>
      </c>
      <c r="G22" s="41">
        <v>4.1739023554721326</v>
      </c>
      <c r="H22" s="41">
        <v>4.1467510436355912</v>
      </c>
      <c r="I22" s="41">
        <v>4.1916359957286629</v>
      </c>
      <c r="J22" s="41">
        <v>3.6839731021911577</v>
      </c>
      <c r="K22" s="41">
        <v>3.5524353086615954</v>
      </c>
      <c r="L22" s="41">
        <v>3.5722275987107204</v>
      </c>
      <c r="M22" s="41">
        <v>2.7152516590806064</v>
      </c>
      <c r="N22" s="41">
        <v>2.4779574651129783</v>
      </c>
      <c r="O22" s="29">
        <f t="shared" si="0"/>
        <v>-0.54170858161480284</v>
      </c>
      <c r="P22" s="29">
        <f t="shared" si="1"/>
        <v>-0.32736819830765435</v>
      </c>
    </row>
    <row r="23" spans="1:16" ht="18" customHeight="1">
      <c r="A23" s="189"/>
      <c r="B23" s="37" t="s">
        <v>206</v>
      </c>
      <c r="C23" s="38"/>
      <c r="D23" s="38">
        <f ca="1">8.88046238901439*OFFSET(D$113,MATCH($N$1,$C$113:$C$114,0)-1,0)</f>
        <v>8.8804623890143901</v>
      </c>
      <c r="E23" s="38">
        <f ca="1">8.59125654335082*OFFSET(E$113,MATCH($N$1,$C$113:$C$114,0)-1,0)</f>
        <v>8.5912565433508199</v>
      </c>
      <c r="F23" s="38">
        <f ca="1">8.71176078701918*OFFSET(F$113,MATCH($N$1,$C$113:$C$114,0)-1,0)</f>
        <v>8.7117607870191804</v>
      </c>
      <c r="G23" s="38">
        <f ca="1">8.14396140321169*OFFSET(G$113,MATCH($N$1,$C$113:$C$114,0)-1,0)</f>
        <v>8.1439614032116907</v>
      </c>
      <c r="H23" s="38">
        <f ca="1">8.05039879334396*OFFSET(H$113,MATCH($N$1,$C$113:$C$114,0)-1,0)</f>
        <v>8.0503987933439607</v>
      </c>
      <c r="I23" s="38">
        <f ca="1">10.1558620944449*OFFSET(I$113,MATCH($N$1,$C$113:$C$114,0)-1,0)</f>
        <v>10.155862094444901</v>
      </c>
      <c r="J23" s="38">
        <f ca="1">7.16627488489671*OFFSET(J$113,MATCH($N$1,$C$113:$C$114,0)-1,0)</f>
        <v>7.1662748848967102</v>
      </c>
      <c r="K23" s="38">
        <f ca="1">7.7572449310251*OFFSET(K$113,MATCH($N$1,$C$113:$C$114,0)-1,0)</f>
        <v>7.7572449310250997</v>
      </c>
      <c r="L23" s="38">
        <f ca="1">6.45364857177307*OFFSET(L$113,MATCH($N$1,$C$113:$C$114,0)-1,0)</f>
        <v>6.4536485717730701</v>
      </c>
      <c r="M23" s="38">
        <f ca="1">6.83199819231411*OFFSET(M$113,MATCH($N$1,$C$113:$C$114,0)-1,0)</f>
        <v>6.83199819231411</v>
      </c>
      <c r="N23" s="38">
        <v>7.9075282869570129</v>
      </c>
      <c r="O23" s="29">
        <f t="shared" ca="1" si="0"/>
        <v>-0.10955894630677666</v>
      </c>
      <c r="P23" s="29">
        <f t="shared" ca="1" si="1"/>
        <v>0.10343636184296141</v>
      </c>
    </row>
    <row r="24" spans="1:16" ht="18" customHeight="1">
      <c r="A24" s="189"/>
      <c r="B24" s="37" t="s">
        <v>153</v>
      </c>
      <c r="C24" s="38"/>
      <c r="D24" s="38">
        <f ca="1">7.54944613848335*OFFSET(D$113,MATCH($N$1,$C$113:$C$114,0)-1,0)</f>
        <v>7.5494461384833498</v>
      </c>
      <c r="E24" s="38">
        <f ca="1">7.24679220222471*OFFSET(E$113,MATCH($N$1,$C$113:$C$114,0)-1,0)</f>
        <v>7.24679220222471</v>
      </c>
      <c r="F24" s="38">
        <f ca="1">6.72659987310573*OFFSET(F$113,MATCH($N$1,$C$113:$C$114,0)-1,0)</f>
        <v>6.7265998731057302</v>
      </c>
      <c r="G24" s="38">
        <f ca="1">6.56001365817399*OFFSET(G$113,MATCH($N$1,$C$113:$C$114,0)-1,0)</f>
        <v>6.5600136581739896</v>
      </c>
      <c r="H24" s="38">
        <f ca="1">5.51808535086367*OFFSET(H$113,MATCH($N$1,$C$113:$C$114,0)-1,0)</f>
        <v>5.5180853508636698</v>
      </c>
      <c r="I24" s="38">
        <f ca="1">7.21013113744017*OFFSET(I$113,MATCH($N$1,$C$113:$C$114,0)-1,0)</f>
        <v>7.21013113744017</v>
      </c>
      <c r="J24" s="38">
        <f ca="1">5.73026680372931*OFFSET(J$113,MATCH($N$1,$C$113:$C$114,0)-1,0)</f>
        <v>5.7302668037293101</v>
      </c>
      <c r="K24" s="38">
        <f ca="1">5.8889066288381*OFFSET(K$113,MATCH($N$1,$C$113:$C$114,0)-1,0)</f>
        <v>5.8889066288381002</v>
      </c>
      <c r="L24" s="38">
        <f ca="1">5.54846038012446*OFFSET(L$113,MATCH($N$1,$C$113:$C$114,0)-1,0)</f>
        <v>5.5484603801244603</v>
      </c>
      <c r="M24" s="38">
        <f ca="1">5.46429211569756*OFFSET(M$113,MATCH($N$1,$C$113:$C$114,0)-1,0)</f>
        <v>5.4642921156975603</v>
      </c>
      <c r="N24" s="38">
        <v>6.6202862172376165</v>
      </c>
      <c r="O24" s="29">
        <f t="shared" ca="1" si="0"/>
        <v>-0.12307656802918755</v>
      </c>
      <c r="P24" s="29">
        <f t="shared" ca="1" si="1"/>
        <v>0.15531901811780799</v>
      </c>
    </row>
    <row r="25" spans="1:16" ht="18" customHeight="1">
      <c r="A25" s="189"/>
      <c r="B25" s="37" t="s">
        <v>154</v>
      </c>
      <c r="C25" s="38"/>
      <c r="D25" s="38">
        <f ca="1">1.73957809622624*OFFSET(D$113,MATCH($N$1,$C$113:$C$114,0)-1,0)</f>
        <v>1.7395780962262399</v>
      </c>
      <c r="E25" s="38">
        <f ca="1">1.44649116611456*OFFSET(E$113,MATCH($N$1,$C$113:$C$114,0)-1,0)</f>
        <v>1.4464911661145601</v>
      </c>
      <c r="F25" s="38">
        <f ca="1">2.06826238930204*OFFSET(F$113,MATCH($N$1,$C$113:$C$114,0)-1,0)</f>
        <v>2.0682623893020402</v>
      </c>
      <c r="G25" s="38">
        <f ca="1">1.81483625888439*OFFSET(G$113,MATCH($N$1,$C$113:$C$114,0)-1,0)</f>
        <v>1.81483625888439</v>
      </c>
      <c r="H25" s="38">
        <f ca="1">2.66132179209773*OFFSET(H$113,MATCH($N$1,$C$113:$C$114,0)-1,0)</f>
        <v>2.6613217920977301</v>
      </c>
      <c r="I25" s="38">
        <f ca="1">3.17173361586449*OFFSET(I$113,MATCH($N$1,$C$113:$C$114,0)-1,0)</f>
        <v>3.1717336158644902</v>
      </c>
      <c r="J25" s="38">
        <f ca="1">1.91442165299574*OFFSET(J$113,MATCH($N$1,$C$113:$C$114,0)-1,0)</f>
        <v>1.9144216529957401</v>
      </c>
      <c r="K25" s="38">
        <f ca="1">2.24715143932806*OFFSET(K$113,MATCH($N$1,$C$113:$C$114,0)-1,0)</f>
        <v>2.2471514393280598</v>
      </c>
      <c r="L25" s="38">
        <f ca="1">1.54523384496459*OFFSET(L$113,MATCH($N$1,$C$113:$C$114,0)-1,0)</f>
        <v>1.5452338449645899</v>
      </c>
      <c r="M25" s="38">
        <f ca="1">1.36770607661655*OFFSET(M$113,MATCH($N$1,$C$113:$C$114,0)-1,0)</f>
        <v>1.3677060766165501</v>
      </c>
      <c r="N25" s="38">
        <v>1.2872420697193965</v>
      </c>
      <c r="O25" s="29">
        <f t="shared" ca="1" si="0"/>
        <v>-0.26002628309020459</v>
      </c>
      <c r="P25" s="29">
        <f t="shared" ca="1" si="1"/>
        <v>-0.3276078612540323</v>
      </c>
    </row>
    <row r="26" spans="1:16" ht="18" customHeight="1">
      <c r="A26" s="189"/>
      <c r="B26" s="37" t="s">
        <v>207</v>
      </c>
      <c r="C26" s="33"/>
      <c r="D26" s="33">
        <f ca="1">78.06*OFFSET(D$113,MATCH($N$1,$C$113:$C$114,0)-1,0)</f>
        <v>78.06</v>
      </c>
      <c r="E26" s="33">
        <f ca="1">88.25*OFFSET(E$113,MATCH($N$1,$C$113:$C$114,0)-1,0)</f>
        <v>88.25</v>
      </c>
      <c r="F26" s="33">
        <f ca="1">92.98*OFFSET(F$113,MATCH($N$1,$C$113:$C$114,0)-1,0)</f>
        <v>92.98</v>
      </c>
      <c r="G26" s="33">
        <f ca="1">97.4*OFFSET(G$113,MATCH($N$1,$C$113:$C$114,0)-1,0)</f>
        <v>97.4</v>
      </c>
      <c r="H26" s="33">
        <f ca="1">82.86*OFFSET(H$113,MATCH($N$1,$C$113:$C$114,0)-1,0)</f>
        <v>82.86</v>
      </c>
      <c r="I26" s="33">
        <f ca="1">106.48*OFFSET(I$113,MATCH($N$1,$C$113:$C$114,0)-1,0)</f>
        <v>106.48</v>
      </c>
      <c r="J26" s="33">
        <f ca="1">72.68*OFFSET(J$113,MATCH($N$1,$C$113:$C$114,0)-1,0)</f>
        <v>72.680000000000007</v>
      </c>
      <c r="K26" s="33">
        <f ca="1">88.4*OFFSET(K$113,MATCH($N$1,$C$113:$C$114,0)-1,0)</f>
        <v>88.4</v>
      </c>
      <c r="L26" s="33">
        <f ca="1">62.48*OFFSET(L$113,MATCH($N$1,$C$113:$C$114,0)-1,0)</f>
        <v>62.48</v>
      </c>
      <c r="M26" s="33">
        <f ca="1">103.72*OFFSET(M$113,MATCH($N$1,$C$113:$C$114,0)-1,0)</f>
        <v>103.72</v>
      </c>
      <c r="N26" s="33">
        <v>121.43</v>
      </c>
      <c r="O26" s="29">
        <f t="shared" ca="1" si="0"/>
        <v>0.55559825775044847</v>
      </c>
      <c r="P26" s="29">
        <f t="shared" ca="1" si="1"/>
        <v>0.67074848651623553</v>
      </c>
    </row>
    <row r="27" spans="1:16" ht="18" customHeight="1">
      <c r="A27" s="190"/>
      <c r="B27" s="37" t="s">
        <v>208</v>
      </c>
      <c r="C27" s="33"/>
      <c r="D27" s="33">
        <f ca="1">15.3*OFFSET(D$113,MATCH($N$1,$C$113:$C$114,0)-1,0)</f>
        <v>15.3</v>
      </c>
      <c r="E27" s="33">
        <f ca="1">14.86*OFFSET(E$113,MATCH($N$1,$C$113:$C$114,0)-1,0)</f>
        <v>14.86</v>
      </c>
      <c r="F27" s="33">
        <f ca="1">22.07*OFFSET(F$113,MATCH($N$1,$C$113:$C$114,0)-1,0)</f>
        <v>22.07</v>
      </c>
      <c r="G27" s="33">
        <f ca="1">21.71*OFFSET(G$113,MATCH($N$1,$C$113:$C$114,0)-1,0)</f>
        <v>21.71</v>
      </c>
      <c r="H27" s="33">
        <f ca="1">27.4*OFFSET(H$113,MATCH($N$1,$C$113:$C$114,0)-1,0)</f>
        <v>27.4</v>
      </c>
      <c r="I27" s="33">
        <f ca="1">33.26*OFFSET(I$113,MATCH($N$1,$C$113:$C$114,0)-1,0)</f>
        <v>33.26</v>
      </c>
      <c r="J27" s="33">
        <f ca="1">19.42*OFFSET(J$113,MATCH($N$1,$C$113:$C$114,0)-1,0)</f>
        <v>19.420000000000002</v>
      </c>
      <c r="K27" s="33">
        <f ca="1">25.6*OFFSET(K$113,MATCH($N$1,$C$113:$C$114,0)-1,0)</f>
        <v>25.6</v>
      </c>
      <c r="L27" s="33">
        <f ca="1">14.96*OFFSET(L$113,MATCH($N$1,$C$113:$C$114,0)-1,0)</f>
        <v>14.96</v>
      </c>
      <c r="M27" s="33">
        <f ca="1">20.74*OFFSET(M$113,MATCH($N$1,$C$113:$C$114,0)-1,0)</f>
        <v>20.74</v>
      </c>
      <c r="N27" s="33">
        <v>19.78</v>
      </c>
      <c r="O27" s="34">
        <f t="shared" ca="1" si="0"/>
        <v>0.29281045751633988</v>
      </c>
      <c r="P27" s="34">
        <f t="shared" ca="1" si="1"/>
        <v>1.8537590113285242E-2</v>
      </c>
    </row>
    <row r="28" spans="1:16" s="78" customFormat="1" ht="18" customHeight="1">
      <c r="A28" s="191" t="s">
        <v>209</v>
      </c>
      <c r="B28" s="82" t="s">
        <v>200</v>
      </c>
      <c r="C28" s="83"/>
      <c r="D28" s="83">
        <f ca="1">309.8*OFFSET(D$113,MATCH($N$1,$C$113:$C$114,0)-1,0)</f>
        <v>309.8</v>
      </c>
      <c r="E28" s="83">
        <f ca="1">289.8*OFFSET(E$113,MATCH($N$1,$C$113:$C$114,0)-1,0)</f>
        <v>289.8</v>
      </c>
      <c r="F28" s="83">
        <f ca="1">287.4*OFFSET(F$113,MATCH($N$1,$C$113:$C$114,0)-1,0)</f>
        <v>287.39999999999998</v>
      </c>
      <c r="G28" s="83">
        <f ca="1">250.8*OFFSET(G$113,MATCH($N$1,$C$113:$C$114,0)-1,0)</f>
        <v>250.8</v>
      </c>
      <c r="H28" s="83">
        <f ca="1">295.2*OFFSET(H$113,MATCH($N$1,$C$113:$C$114,0)-1,0)</f>
        <v>295.2</v>
      </c>
      <c r="I28" s="83">
        <f ca="1">332.9*OFFSET(I$113,MATCH($N$1,$C$113:$C$114,0)-1,0)</f>
        <v>332.9</v>
      </c>
      <c r="J28" s="83">
        <f ca="1">223.8*OFFSET(J$113,MATCH($N$1,$C$113:$C$114,0)-1,0)</f>
        <v>223.8</v>
      </c>
      <c r="K28" s="83">
        <f ca="1">237.2*OFFSET(K$113,MATCH($N$1,$C$113:$C$114,0)-1,0)</f>
        <v>237.2</v>
      </c>
      <c r="L28" s="83">
        <f ca="1">158.7*OFFSET(L$113,MATCH($N$1,$C$113:$C$114,0)-1,0)</f>
        <v>158.69999999999999</v>
      </c>
      <c r="M28" s="83">
        <f ca="1">188.5*OFFSET(M$113,MATCH($N$1,$C$113:$C$114,0)-1,0)</f>
        <v>188.5</v>
      </c>
      <c r="N28" s="83">
        <v>245.6</v>
      </c>
      <c r="O28" s="84">
        <f t="shared" ca="1" si="0"/>
        <v>-0.20723047127178829</v>
      </c>
      <c r="P28" s="84">
        <f t="shared" ca="1" si="1"/>
        <v>9.7408400357461941E-2</v>
      </c>
    </row>
    <row r="29" spans="1:16" s="78" customFormat="1" ht="18" customHeight="1">
      <c r="A29" s="192"/>
      <c r="B29" s="85" t="s">
        <v>210</v>
      </c>
      <c r="C29" s="86"/>
      <c r="D29" s="86">
        <f ca="1">14.3*OFFSET(D$113,MATCH($N$1,$C$113:$C$114,0)-1,0)</f>
        <v>14.3</v>
      </c>
      <c r="E29" s="86">
        <f ca="1">3.4*OFFSET(E$113,MATCH($N$1,$C$113:$C$114,0)-1,0)</f>
        <v>3.4</v>
      </c>
      <c r="F29" s="86">
        <f ca="1">2.7*OFFSET(F$113,MATCH($N$1,$C$113:$C$114,0)-1,0)</f>
        <v>2.7</v>
      </c>
      <c r="G29" s="86">
        <f ca="1">7.1*OFFSET(G$113,MATCH($N$1,$C$113:$C$114,0)-1,0)</f>
        <v>7.1</v>
      </c>
      <c r="H29" s="86">
        <f ca="1">4.7*OFFSET(H$113,MATCH($N$1,$C$113:$C$114,0)-1,0)</f>
        <v>4.7</v>
      </c>
      <c r="I29" s="86">
        <f ca="1">7.4*OFFSET(I$113,MATCH($N$1,$C$113:$C$114,0)-1,0)</f>
        <v>7.4</v>
      </c>
      <c r="J29" s="86">
        <f ca="1">14.9*OFFSET(J$113,MATCH($N$1,$C$113:$C$114,0)-1,0)</f>
        <v>14.9</v>
      </c>
      <c r="K29" s="86">
        <f ca="1">11.6*OFFSET(K$113,MATCH($N$1,$C$113:$C$114,0)-1,0)</f>
        <v>11.6</v>
      </c>
      <c r="L29" s="86">
        <f ca="1">15.7*OFFSET(L$113,MATCH($N$1,$C$113:$C$114,0)-1,0)</f>
        <v>15.7</v>
      </c>
      <c r="M29" s="86"/>
      <c r="N29" s="86"/>
      <c r="O29" s="84" t="str">
        <f t="shared" si="0"/>
        <v/>
      </c>
      <c r="P29" s="84" t="str">
        <f t="shared" si="1"/>
        <v/>
      </c>
    </row>
    <row r="30" spans="1:16" s="78" customFormat="1" ht="18" customHeight="1">
      <c r="A30" s="192"/>
      <c r="B30" s="87" t="s">
        <v>211</v>
      </c>
      <c r="C30" s="88"/>
      <c r="D30" s="88">
        <f ca="1">324.1*OFFSET(D$113,MATCH($N$1,$C$113:$C$114,0)-1,0)</f>
        <v>324.10000000000002</v>
      </c>
      <c r="E30" s="88">
        <f ca="1">293.3*OFFSET(E$113,MATCH($N$1,$C$113:$C$114,0)-1,0)</f>
        <v>293.3</v>
      </c>
      <c r="F30" s="88">
        <f ca="1">290.1*OFFSET(F$113,MATCH($N$1,$C$113:$C$114,0)-1,0)</f>
        <v>290.10000000000002</v>
      </c>
      <c r="G30" s="88">
        <f ca="1">257.9*OFFSET(G$113,MATCH($N$1,$C$113:$C$114,0)-1,0)</f>
        <v>257.89999999999998</v>
      </c>
      <c r="H30" s="88">
        <f ca="1">299.9*OFFSET(H$113,MATCH($N$1,$C$113:$C$114,0)-1,0)</f>
        <v>299.89999999999998</v>
      </c>
      <c r="I30" s="88">
        <f ca="1">340.3*OFFSET(I$113,MATCH($N$1,$C$113:$C$114,0)-1,0)</f>
        <v>340.3</v>
      </c>
      <c r="J30" s="88">
        <f ca="1">238.7*OFFSET(J$113,MATCH($N$1,$C$113:$C$114,0)-1,0)</f>
        <v>238.7</v>
      </c>
      <c r="K30" s="88">
        <f ca="1">248.8*OFFSET(K$113,MATCH($N$1,$C$113:$C$114,0)-1,0)</f>
        <v>248.8</v>
      </c>
      <c r="L30" s="88">
        <f ca="1">174.4*OFFSET(L$113,MATCH($N$1,$C$113:$C$114,0)-1,0)</f>
        <v>174.4</v>
      </c>
      <c r="M30" s="88">
        <f ca="1">188.5*OFFSET(M$113,MATCH($N$1,$C$113:$C$114,0)-1,0)</f>
        <v>188.5</v>
      </c>
      <c r="N30" s="88">
        <v>245.6</v>
      </c>
      <c r="O30" s="84">
        <f t="shared" ca="1" si="0"/>
        <v>-0.24220919469299607</v>
      </c>
      <c r="P30" s="84">
        <f t="shared" ca="1" si="1"/>
        <v>2.8906577293674095E-2</v>
      </c>
    </row>
    <row r="31" spans="1:16" s="78" customFormat="1" ht="18" customHeight="1">
      <c r="A31" s="192"/>
      <c r="B31" s="85" t="s">
        <v>212</v>
      </c>
      <c r="C31" s="86"/>
      <c r="D31" s="86">
        <f ca="1">52.7*OFFSET(D$113,MATCH($N$1,$C$113:$C$114,0)-1,0)</f>
        <v>52.7</v>
      </c>
      <c r="E31" s="86">
        <f ca="1">50.8*OFFSET(E$113,MATCH($N$1,$C$113:$C$114,0)-1,0)</f>
        <v>50.8</v>
      </c>
      <c r="F31" s="86">
        <f ca="1">45.1*OFFSET(F$113,MATCH($N$1,$C$113:$C$114,0)-1,0)</f>
        <v>45.1</v>
      </c>
      <c r="G31" s="86">
        <f ca="1">29*OFFSET(G$113,MATCH($N$1,$C$113:$C$114,0)-1,0)</f>
        <v>29</v>
      </c>
      <c r="H31" s="86">
        <f ca="1">30.5*OFFSET(H$113,MATCH($N$1,$C$113:$C$114,0)-1,0)</f>
        <v>30.5</v>
      </c>
      <c r="I31" s="86">
        <f ca="1">35.2*OFFSET(I$113,MATCH($N$1,$C$113:$C$114,0)-1,0)</f>
        <v>35.200000000000003</v>
      </c>
      <c r="J31" s="86">
        <f ca="1">37.6*OFFSET(J$113,MATCH($N$1,$C$113:$C$114,0)-1,0)</f>
        <v>37.6</v>
      </c>
      <c r="K31" s="86">
        <f ca="1">37*OFFSET(K$113,MATCH($N$1,$C$113:$C$114,0)-1,0)</f>
        <v>37</v>
      </c>
      <c r="L31" s="86">
        <f ca="1">21.2*OFFSET(L$113,MATCH($N$1,$C$113:$C$114,0)-1,0)</f>
        <v>21.2</v>
      </c>
      <c r="M31" s="86">
        <f ca="1">29.7*OFFSET(M$113,MATCH($N$1,$C$113:$C$114,0)-1,0)</f>
        <v>29.7</v>
      </c>
      <c r="N31" s="86">
        <v>52.300000000000004</v>
      </c>
      <c r="O31" s="84">
        <f t="shared" ca="1" si="0"/>
        <v>-7.5901328273244506E-3</v>
      </c>
      <c r="P31" s="84">
        <f t="shared" ca="1" si="1"/>
        <v>0.39095744680851069</v>
      </c>
    </row>
    <row r="32" spans="1:16" s="78" customFormat="1" ht="18" customHeight="1">
      <c r="A32" s="192"/>
      <c r="B32" s="85" t="s">
        <v>213</v>
      </c>
      <c r="C32" s="86"/>
      <c r="D32" s="86">
        <f ca="1">78.6*OFFSET(D$113,MATCH($N$1,$C$113:$C$114,0)-1,0)</f>
        <v>78.599999999999994</v>
      </c>
      <c r="E32" s="86">
        <f ca="1">71.3*OFFSET(E$113,MATCH($N$1,$C$113:$C$114,0)-1,0)</f>
        <v>71.3</v>
      </c>
      <c r="F32" s="86">
        <f ca="1">57.9*OFFSET(F$113,MATCH($N$1,$C$113:$C$114,0)-1,0)</f>
        <v>57.9</v>
      </c>
      <c r="G32" s="86">
        <f ca="1">56*OFFSET(G$113,MATCH($N$1,$C$113:$C$114,0)-1,0)</f>
        <v>56</v>
      </c>
      <c r="H32" s="86">
        <f ca="1">61.5*OFFSET(H$113,MATCH($N$1,$C$113:$C$114,0)-1,0)</f>
        <v>61.5</v>
      </c>
      <c r="I32" s="86">
        <f ca="1">75*OFFSET(I$113,MATCH($N$1,$C$113:$C$114,0)-1,0)</f>
        <v>75</v>
      </c>
      <c r="J32" s="86">
        <f ca="1">57.9*OFFSET(J$113,MATCH($N$1,$C$113:$C$114,0)-1,0)</f>
        <v>57.9</v>
      </c>
      <c r="K32" s="86">
        <f ca="1">48.4*OFFSET(K$113,MATCH($N$1,$C$113:$C$114,0)-1,0)</f>
        <v>48.4</v>
      </c>
      <c r="L32" s="86">
        <f ca="1">39*OFFSET(L$113,MATCH($N$1,$C$113:$C$114,0)-1,0)</f>
        <v>39</v>
      </c>
      <c r="M32" s="86">
        <f ca="1">43.2*OFFSET(M$113,MATCH($N$1,$C$113:$C$114,0)-1,0)</f>
        <v>43.2</v>
      </c>
      <c r="N32" s="86">
        <v>52</v>
      </c>
      <c r="O32" s="84">
        <f t="shared" ca="1" si="0"/>
        <v>-0.33842239185750633</v>
      </c>
      <c r="P32" s="84">
        <f t="shared" ca="1" si="1"/>
        <v>-0.10189982728842831</v>
      </c>
    </row>
    <row r="33" spans="1:16" s="78" customFormat="1" ht="18" customHeight="1">
      <c r="A33" s="192"/>
      <c r="B33" s="85" t="s">
        <v>214</v>
      </c>
      <c r="C33" s="86"/>
      <c r="D33" s="86">
        <f ca="1">56.5*OFFSET(D$113,MATCH($N$1,$C$113:$C$114,0)-1,0)</f>
        <v>56.5</v>
      </c>
      <c r="E33" s="86">
        <f ca="1">76.9*OFFSET(E$113,MATCH($N$1,$C$113:$C$114,0)-1,0)</f>
        <v>76.900000000000006</v>
      </c>
      <c r="F33" s="86">
        <f ca="1">79.2*OFFSET(F$113,MATCH($N$1,$C$113:$C$114,0)-1,0)</f>
        <v>79.2</v>
      </c>
      <c r="G33" s="86">
        <f ca="1">52.4*OFFSET(G$113,MATCH($N$1,$C$113:$C$114,0)-1,0)</f>
        <v>52.4</v>
      </c>
      <c r="H33" s="86">
        <f ca="1">62.3*OFFSET(H$113,MATCH($N$1,$C$113:$C$114,0)-1,0)</f>
        <v>62.3</v>
      </c>
      <c r="I33" s="86">
        <f ca="1">41.2*OFFSET(I$113,MATCH($N$1,$C$113:$C$114,0)-1,0)</f>
        <v>41.2</v>
      </c>
      <c r="J33" s="86">
        <f ca="1">30.3*OFFSET(J$113,MATCH($N$1,$C$113:$C$114,0)-1,0)</f>
        <v>30.3</v>
      </c>
      <c r="K33" s="86">
        <f ca="1">29*OFFSET(K$113,MATCH($N$1,$C$113:$C$114,0)-1,0)</f>
        <v>29</v>
      </c>
      <c r="L33" s="86">
        <f ca="1">26*OFFSET(L$113,MATCH($N$1,$C$113:$C$114,0)-1,0)</f>
        <v>26</v>
      </c>
      <c r="M33" s="86">
        <f ca="1">24.4*OFFSET(M$113,MATCH($N$1,$C$113:$C$114,0)-1,0)</f>
        <v>24.4</v>
      </c>
      <c r="N33" s="86">
        <v>31.8</v>
      </c>
      <c r="O33" s="84">
        <f t="shared" ca="1" si="0"/>
        <v>-0.43716814159292033</v>
      </c>
      <c r="P33" s="84">
        <f t="shared" ca="1" si="1"/>
        <v>4.95049504950495E-2</v>
      </c>
    </row>
    <row r="34" spans="1:16" s="78" customFormat="1" ht="18" customHeight="1">
      <c r="A34" s="192"/>
      <c r="B34" s="85" t="s">
        <v>215</v>
      </c>
      <c r="C34" s="86"/>
      <c r="D34" s="86">
        <f ca="1">187.8*OFFSET(D$113,MATCH($N$1,$C$113:$C$114,0)-1,0)</f>
        <v>187.8</v>
      </c>
      <c r="E34" s="86">
        <f ca="1">199.1*OFFSET(E$113,MATCH($N$1,$C$113:$C$114,0)-1,0)</f>
        <v>199.1</v>
      </c>
      <c r="F34" s="86">
        <f ca="1">182.2*OFFSET(F$113,MATCH($N$1,$C$113:$C$114,0)-1,0)</f>
        <v>182.2</v>
      </c>
      <c r="G34" s="86">
        <f ca="1">137.4*OFFSET(G$113,MATCH($N$1,$C$113:$C$114,0)-1,0)</f>
        <v>137.4</v>
      </c>
      <c r="H34" s="86">
        <f ca="1">154.3*OFFSET(H$113,MATCH($N$1,$C$113:$C$114,0)-1,0)</f>
        <v>154.30000000000001</v>
      </c>
      <c r="I34" s="86">
        <f ca="1">151.4*OFFSET(I$113,MATCH($N$1,$C$113:$C$114,0)-1,0)</f>
        <v>151.4</v>
      </c>
      <c r="J34" s="86">
        <f ca="1">125.8*OFFSET(J$113,MATCH($N$1,$C$113:$C$114,0)-1,0)</f>
        <v>125.8</v>
      </c>
      <c r="K34" s="86">
        <f ca="1">114.3*OFFSET(K$113,MATCH($N$1,$C$113:$C$114,0)-1,0)</f>
        <v>114.3</v>
      </c>
      <c r="L34" s="86">
        <f ca="1">86.2*OFFSET(L$113,MATCH($N$1,$C$113:$C$114,0)-1,0)</f>
        <v>86.2</v>
      </c>
      <c r="M34" s="86">
        <f ca="1">97.3*OFFSET(M$113,MATCH($N$1,$C$113:$C$114,0)-1,0)</f>
        <v>97.3</v>
      </c>
      <c r="N34" s="86">
        <v>136</v>
      </c>
      <c r="O34" s="84">
        <f t="shared" ca="1" si="0"/>
        <v>-0.27582534611288612</v>
      </c>
      <c r="P34" s="84">
        <f t="shared" ca="1" si="1"/>
        <v>8.1081081081081099E-2</v>
      </c>
    </row>
    <row r="35" spans="1:16" s="78" customFormat="1" ht="18" customHeight="1">
      <c r="A35" s="192"/>
      <c r="B35" s="85" t="s">
        <v>216</v>
      </c>
      <c r="C35" s="86"/>
      <c r="D35" s="86">
        <f ca="1">75.6*OFFSET(D$113,MATCH($N$1,$C$113:$C$114,0)-1,0)</f>
        <v>75.599999999999994</v>
      </c>
      <c r="E35" s="86">
        <f ca="1">45.4*OFFSET(E$113,MATCH($N$1,$C$113:$C$114,0)-1,0)</f>
        <v>45.4</v>
      </c>
      <c r="F35" s="86">
        <f ca="1">39.7*OFFSET(F$113,MATCH($N$1,$C$113:$C$114,0)-1,0)</f>
        <v>39.700000000000003</v>
      </c>
      <c r="G35" s="86">
        <f ca="1">64.6*OFFSET(G$113,MATCH($N$1,$C$113:$C$114,0)-1,0)</f>
        <v>64.599999999999994</v>
      </c>
      <c r="H35" s="86">
        <f ca="1">48*OFFSET(H$113,MATCH($N$1,$C$113:$C$114,0)-1,0)</f>
        <v>48</v>
      </c>
      <c r="I35" s="86">
        <f ca="1">84.9*OFFSET(I$113,MATCH($N$1,$C$113:$C$114,0)-1,0)</f>
        <v>84.9</v>
      </c>
      <c r="J35" s="86">
        <f ca="1">53.1*OFFSET(J$113,MATCH($N$1,$C$113:$C$114,0)-1,0)</f>
        <v>53.1</v>
      </c>
      <c r="K35" s="86">
        <f ca="1">65.7*OFFSET(K$113,MATCH($N$1,$C$113:$C$114,0)-1,0)</f>
        <v>65.7</v>
      </c>
      <c r="L35" s="86">
        <f ca="1">50.2*OFFSET(L$113,MATCH($N$1,$C$113:$C$114,0)-1,0)</f>
        <v>50.2</v>
      </c>
      <c r="M35" s="86">
        <f ca="1">53.4*OFFSET(M$113,MATCH($N$1,$C$113:$C$114,0)-1,0)</f>
        <v>53.4</v>
      </c>
      <c r="N35" s="86">
        <v>69.600000000000009</v>
      </c>
      <c r="O35" s="84">
        <f t="shared" ca="1" si="0"/>
        <v>-7.936507936507918E-2</v>
      </c>
      <c r="P35" s="84">
        <f t="shared" ca="1" si="1"/>
        <v>0.31073446327683629</v>
      </c>
    </row>
    <row r="36" spans="1:16" s="78" customFormat="1" ht="18" customHeight="1">
      <c r="A36" s="192"/>
      <c r="B36" s="85" t="s">
        <v>217</v>
      </c>
      <c r="C36" s="86"/>
      <c r="D36" s="86">
        <f ca="1">263.4*OFFSET(D$113,MATCH($N$1,$C$113:$C$114,0)-1,0)</f>
        <v>263.39999999999998</v>
      </c>
      <c r="E36" s="86">
        <f ca="1">244.5*OFFSET(E$113,MATCH($N$1,$C$113:$C$114,0)-1,0)</f>
        <v>244.5</v>
      </c>
      <c r="F36" s="86">
        <f ca="1">221.9*OFFSET(F$113,MATCH($N$1,$C$113:$C$114,0)-1,0)</f>
        <v>221.9</v>
      </c>
      <c r="G36" s="86">
        <f ca="1">202*OFFSET(G$113,MATCH($N$1,$C$113:$C$114,0)-1,0)</f>
        <v>202</v>
      </c>
      <c r="H36" s="86">
        <f ca="1">202.3*OFFSET(H$113,MATCH($N$1,$C$113:$C$114,0)-1,0)</f>
        <v>202.3</v>
      </c>
      <c r="I36" s="86">
        <f ca="1">236.3*OFFSET(I$113,MATCH($N$1,$C$113:$C$114,0)-1,0)</f>
        <v>236.3</v>
      </c>
      <c r="J36" s="86">
        <f ca="1">179*OFFSET(J$113,MATCH($N$1,$C$113:$C$114,0)-1,0)</f>
        <v>179</v>
      </c>
      <c r="K36" s="86">
        <f ca="1">180.1*OFFSET(K$113,MATCH($N$1,$C$113:$C$114,0)-1,0)</f>
        <v>180.1</v>
      </c>
      <c r="L36" s="86">
        <f ca="1">136.4*OFFSET(L$113,MATCH($N$1,$C$113:$C$114,0)-1,0)</f>
        <v>136.4</v>
      </c>
      <c r="M36" s="86">
        <f ca="1">150.8*OFFSET(M$113,MATCH($N$1,$C$113:$C$114,0)-1,0)</f>
        <v>150.80000000000001</v>
      </c>
      <c r="N36" s="86">
        <v>205.6</v>
      </c>
      <c r="O36" s="84">
        <f t="shared" ca="1" si="0"/>
        <v>-0.21943811693242213</v>
      </c>
      <c r="P36" s="84">
        <f t="shared" ca="1" si="1"/>
        <v>0.14860335195530724</v>
      </c>
    </row>
    <row r="37" spans="1:16" s="78" customFormat="1" ht="18" customHeight="1">
      <c r="A37" s="192"/>
      <c r="B37" s="87" t="s">
        <v>218</v>
      </c>
      <c r="C37" s="88"/>
      <c r="D37" s="88">
        <f ca="1">139.3*OFFSET(D$113,MATCH($N$1,$C$113:$C$114,0)-1,0)</f>
        <v>139.30000000000001</v>
      </c>
      <c r="E37" s="88">
        <f ca="1">120.1*OFFSET(E$113,MATCH($N$1,$C$113:$C$114,0)-1,0)</f>
        <v>120.1</v>
      </c>
      <c r="F37" s="88">
        <f ca="1">126.1*OFFSET(F$113,MATCH($N$1,$C$113:$C$114,0)-1,0)</f>
        <v>126.1</v>
      </c>
      <c r="G37" s="88">
        <f ca="1">111.9*OFFSET(G$113,MATCH($N$1,$C$113:$C$114,0)-1,0)</f>
        <v>111.9</v>
      </c>
      <c r="H37" s="88">
        <f ca="1">159.1*OFFSET(H$113,MATCH($N$1,$C$113:$C$114,0)-1,0)</f>
        <v>159.1</v>
      </c>
      <c r="I37" s="88">
        <f ca="1">179*OFFSET(I$113,MATCH($N$1,$C$113:$C$114,0)-1,0)</f>
        <v>179</v>
      </c>
      <c r="J37" s="88">
        <f ca="1">117.7*OFFSET(J$113,MATCH($N$1,$C$113:$C$114,0)-1,0)</f>
        <v>117.7</v>
      </c>
      <c r="K37" s="88">
        <f ca="1">117.1*OFFSET(K$113,MATCH($N$1,$C$113:$C$114,0)-1,0)</f>
        <v>117.1</v>
      </c>
      <c r="L37" s="88">
        <f ca="1">77*OFFSET(L$113,MATCH($N$1,$C$113:$C$114,0)-1,0)</f>
        <v>77</v>
      </c>
      <c r="M37" s="88">
        <f ca="1">80.9*OFFSET(M$113,MATCH($N$1,$C$113:$C$114,0)-1,0)</f>
        <v>80.900000000000006</v>
      </c>
      <c r="N37" s="88">
        <v>92</v>
      </c>
      <c r="O37" s="84">
        <f t="shared" ca="1" si="0"/>
        <v>-0.33955491744436472</v>
      </c>
      <c r="P37" s="84">
        <f t="shared" ca="1" si="1"/>
        <v>-0.2183517417162277</v>
      </c>
    </row>
    <row r="38" spans="1:16" s="78" customFormat="1" ht="18" customHeight="1">
      <c r="A38" s="192"/>
      <c r="B38" s="87" t="s">
        <v>219</v>
      </c>
      <c r="C38" s="88"/>
      <c r="D38" s="88">
        <f ca="1">60.7*OFFSET(D$113,MATCH($N$1,$C$113:$C$114,0)-1,0)</f>
        <v>60.7</v>
      </c>
      <c r="E38" s="88">
        <f ca="1">48.8*OFFSET(E$113,MATCH($N$1,$C$113:$C$114,0)-1,0)</f>
        <v>48.8</v>
      </c>
      <c r="F38" s="88">
        <f ca="1">68.2*OFFSET(F$113,MATCH($N$1,$C$113:$C$114,0)-1,0)</f>
        <v>68.2</v>
      </c>
      <c r="G38" s="88">
        <f ca="1">55.9*OFFSET(G$113,MATCH($N$1,$C$113:$C$114,0)-1,0)</f>
        <v>55.9</v>
      </c>
      <c r="H38" s="88">
        <f ca="1">97.6*OFFSET(H$113,MATCH($N$1,$C$113:$C$114,0)-1,0)</f>
        <v>97.6</v>
      </c>
      <c r="I38" s="88">
        <f ca="1">104*OFFSET(I$113,MATCH($N$1,$C$113:$C$114,0)-1,0)</f>
        <v>104</v>
      </c>
      <c r="J38" s="88">
        <f ca="1">59.8*OFFSET(J$113,MATCH($N$1,$C$113:$C$114,0)-1,0)</f>
        <v>59.8</v>
      </c>
      <c r="K38" s="88">
        <f ca="1">68.7*OFFSET(K$113,MATCH($N$1,$C$113:$C$114,0)-1,0)</f>
        <v>68.7</v>
      </c>
      <c r="L38" s="88">
        <f ca="1">38*OFFSET(L$113,MATCH($N$1,$C$113:$C$114,0)-1,0)</f>
        <v>38</v>
      </c>
      <c r="M38" s="88">
        <f ca="1">37.7*OFFSET(M$113,MATCH($N$1,$C$113:$C$114,0)-1,0)</f>
        <v>37.700000000000003</v>
      </c>
      <c r="N38" s="88">
        <v>40</v>
      </c>
      <c r="O38" s="84">
        <f t="shared" ca="1" si="0"/>
        <v>-0.34102141680395393</v>
      </c>
      <c r="P38" s="84">
        <f t="shared" ca="1" si="1"/>
        <v>-0.33110367892976583</v>
      </c>
    </row>
    <row r="39" spans="1:16" s="78" customFormat="1" ht="18" customHeight="1">
      <c r="A39" s="192"/>
      <c r="B39" s="85" t="s">
        <v>220</v>
      </c>
      <c r="C39" s="86"/>
      <c r="D39" s="86">
        <f ca="1">12.5*OFFSET(D$113,MATCH($N$1,$C$113:$C$114,0)-1,0)</f>
        <v>12.5</v>
      </c>
      <c r="E39" s="86">
        <f ca="1">12*OFFSET(E$113,MATCH($N$1,$C$113:$C$114,0)-1,0)</f>
        <v>12</v>
      </c>
      <c r="F39" s="86">
        <f ca="1">9.6*OFFSET(F$113,MATCH($N$1,$C$113:$C$114,0)-1,0)</f>
        <v>9.6</v>
      </c>
      <c r="G39" s="86">
        <f ca="1">10.2*OFFSET(G$113,MATCH($N$1,$C$113:$C$114,0)-1,0)</f>
        <v>10.199999999999999</v>
      </c>
      <c r="H39" s="86">
        <f ca="1">13.8*OFFSET(H$113,MATCH($N$1,$C$113:$C$114,0)-1,0)</f>
        <v>13.8</v>
      </c>
      <c r="I39" s="86">
        <f ca="1">16.6*OFFSET(I$113,MATCH($N$1,$C$113:$C$114,0)-1,0)</f>
        <v>16.600000000000001</v>
      </c>
      <c r="J39" s="86">
        <f ca="1">5.4*OFFSET(J$113,MATCH($N$1,$C$113:$C$114,0)-1,0)</f>
        <v>5.4</v>
      </c>
      <c r="K39" s="86">
        <f ca="1">8.1*OFFSET(K$113,MATCH($N$1,$C$113:$C$114,0)-1,0)</f>
        <v>8.1</v>
      </c>
      <c r="L39" s="86">
        <f ca="1">5.8*OFFSET(L$113,MATCH($N$1,$C$113:$C$114,0)-1,0)</f>
        <v>5.8</v>
      </c>
      <c r="M39" s="86">
        <f ca="1">8*OFFSET(M$113,MATCH($N$1,$C$113:$C$114,0)-1,0)</f>
        <v>8</v>
      </c>
      <c r="N39" s="86"/>
      <c r="O39" s="84" t="str">
        <f t="shared" si="0"/>
        <v/>
      </c>
      <c r="P39" s="84" t="str">
        <f t="shared" si="1"/>
        <v/>
      </c>
    </row>
    <row r="40" spans="1:16" s="78" customFormat="1" ht="18" customHeight="1">
      <c r="A40" s="192"/>
      <c r="B40" s="85" t="s">
        <v>221</v>
      </c>
      <c r="C40" s="86"/>
      <c r="D40" s="86">
        <f ca="1">4.1*OFFSET(D$113,MATCH($N$1,$C$113:$C$114,0)-1,0)</f>
        <v>4.0999999999999996</v>
      </c>
      <c r="E40" s="86">
        <f ca="1">1.2*OFFSET(E$113,MATCH($N$1,$C$113:$C$114,0)-1,0)</f>
        <v>1.2</v>
      </c>
      <c r="F40" s="86">
        <f ca="1">2.4*OFFSET(F$113,MATCH($N$1,$C$113:$C$114,0)-1,0)</f>
        <v>2.4</v>
      </c>
      <c r="G40" s="86">
        <f ca="1">1.2*OFFSET(G$113,MATCH($N$1,$C$113:$C$114,0)-1,0)</f>
        <v>1.2</v>
      </c>
      <c r="H40" s="86">
        <f ca="1">2.9*OFFSET(H$113,MATCH($N$1,$C$113:$C$114,0)-1,0)</f>
        <v>2.9</v>
      </c>
      <c r="I40" s="86">
        <f ca="1">2.8*OFFSET(I$113,MATCH($N$1,$C$113:$C$114,0)-1,0)</f>
        <v>2.8</v>
      </c>
      <c r="J40" s="86">
        <f ca="1">1.8*OFFSET(J$113,MATCH($N$1,$C$113:$C$114,0)-1,0)</f>
        <v>1.8</v>
      </c>
      <c r="K40" s="86">
        <f ca="1">1.8*OFFSET(K$113,MATCH($N$1,$C$113:$C$114,0)-1,0)</f>
        <v>1.8</v>
      </c>
      <c r="L40" s="86">
        <f ca="1">1.2*OFFSET(L$113,MATCH($N$1,$C$113:$C$114,0)-1,0)</f>
        <v>1.2</v>
      </c>
      <c r="M40" s="86">
        <f ca="1">0.2*OFFSET(M$113,MATCH($N$1,$C$113:$C$114,0)-1,0)</f>
        <v>0.2</v>
      </c>
      <c r="N40" s="86"/>
      <c r="O40" s="84" t="str">
        <f t="shared" si="0"/>
        <v/>
      </c>
      <c r="P40" s="84" t="str">
        <f t="shared" si="1"/>
        <v/>
      </c>
    </row>
    <row r="41" spans="1:16" s="78" customFormat="1" ht="18" customHeight="1">
      <c r="A41" s="192"/>
      <c r="B41" s="85" t="s">
        <v>222</v>
      </c>
      <c r="C41" s="86"/>
      <c r="D41" s="86">
        <f ca="1">1*OFFSET(D$113,MATCH($N$1,$C$113:$C$114,0)-1,0)</f>
        <v>1</v>
      </c>
      <c r="E41" s="86">
        <f ca="1">0.7*OFFSET(E$113,MATCH($N$1,$C$113:$C$114,0)-1,0)</f>
        <v>0.7</v>
      </c>
      <c r="F41" s="86">
        <f ca="1">0.7*OFFSET(F$113,MATCH($N$1,$C$113:$C$114,0)-1,0)</f>
        <v>0.7</v>
      </c>
      <c r="G41" s="86">
        <f ca="1">0.9*OFFSET(G$113,MATCH($N$1,$C$113:$C$114,0)-1,0)</f>
        <v>0.9</v>
      </c>
      <c r="H41" s="86">
        <f ca="1">0.8*OFFSET(H$113,MATCH($N$1,$C$113:$C$114,0)-1,0)</f>
        <v>0.8</v>
      </c>
      <c r="I41" s="86">
        <f ca="1">1.7*OFFSET(I$113,MATCH($N$1,$C$113:$C$114,0)-1,0)</f>
        <v>1.7</v>
      </c>
      <c r="J41" s="86">
        <f ca="1">0.2*OFFSET(J$113,MATCH($N$1,$C$113:$C$114,0)-1,0)</f>
        <v>0.2</v>
      </c>
      <c r="K41" s="86">
        <f ca="1">0.4*OFFSET(K$113,MATCH($N$1,$C$113:$C$114,0)-1,0)</f>
        <v>0.4</v>
      </c>
      <c r="L41" s="86">
        <f ca="1">0.2*OFFSET(L$113,MATCH($N$1,$C$113:$C$114,0)-1,0)</f>
        <v>0.2</v>
      </c>
      <c r="M41" s="86">
        <f ca="1">2*OFFSET(M$113,MATCH($N$1,$C$113:$C$114,0)-1,0)</f>
        <v>2</v>
      </c>
      <c r="N41" s="86"/>
      <c r="O41" s="84" t="str">
        <f t="shared" si="0"/>
        <v/>
      </c>
      <c r="P41" s="84" t="str">
        <f t="shared" si="1"/>
        <v/>
      </c>
    </row>
    <row r="42" spans="1:16" s="78" customFormat="1" ht="18" customHeight="1" thickBot="1">
      <c r="A42" s="193"/>
      <c r="B42" s="89" t="s">
        <v>223</v>
      </c>
      <c r="C42" s="90"/>
      <c r="D42" s="90">
        <f ca="1">43.1*OFFSET(D$113,MATCH($N$1,$C$113:$C$114,0)-1,0)</f>
        <v>43.1</v>
      </c>
      <c r="E42" s="90">
        <f ca="1">34.9*OFFSET(E$113,MATCH($N$1,$C$113:$C$114,0)-1,0)</f>
        <v>34.9</v>
      </c>
      <c r="F42" s="90">
        <f ca="1">55.6*OFFSET(F$113,MATCH($N$1,$C$113:$C$114,0)-1,0)</f>
        <v>55.6</v>
      </c>
      <c r="G42" s="90">
        <f ca="1">43.6*OFFSET(G$113,MATCH($N$1,$C$113:$C$114,0)-1,0)</f>
        <v>43.6</v>
      </c>
      <c r="H42" s="90">
        <f ca="1">80.1*OFFSET(H$113,MATCH($N$1,$C$113:$C$114,0)-1,0)</f>
        <v>80.099999999999994</v>
      </c>
      <c r="I42" s="90">
        <f ca="1">82.8*OFFSET(I$113,MATCH($N$1,$C$113:$C$114,0)-1,0)</f>
        <v>82.8</v>
      </c>
      <c r="J42" s="90">
        <f ca="1">52.4*OFFSET(J$113,MATCH($N$1,$C$113:$C$114,0)-1,0)</f>
        <v>52.4</v>
      </c>
      <c r="K42" s="90">
        <f ca="1">58.4*OFFSET(K$113,MATCH($N$1,$C$113:$C$114,0)-1,0)</f>
        <v>58.4</v>
      </c>
      <c r="L42" s="90">
        <f ca="1">30.9*OFFSET(L$113,MATCH($N$1,$C$113:$C$114,0)-1,0)</f>
        <v>30.9</v>
      </c>
      <c r="M42" s="90">
        <f ca="1">27.6*OFFSET(M$113,MATCH($N$1,$C$113:$C$114,0)-1,0)</f>
        <v>27.6</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158</v>
      </c>
      <c r="G47" s="99" t="s">
        <v>158</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Area VIIBCDEFGHK trawlers 10-24m</v>
      </c>
      <c r="C49" s="101"/>
      <c r="D49" s="101"/>
      <c r="E49" s="101"/>
      <c r="F49" s="101"/>
      <c r="G49" s="101"/>
      <c r="K49" s="101" t="str">
        <f>$B25&amp;CHAR(10)&amp;$A$1</f>
        <v>Operating profit per kW day at sea (£)
Area VIIBCDEFGHK trawlers 10-24m</v>
      </c>
    </row>
    <row r="50" spans="1:11" s="78" customFormat="1">
      <c r="A50" s="101" t="str">
        <f>$B23&amp;CHAR(10)&amp;$A$1</f>
        <v>Fishing income per kW day at sea (£)
Area VIIBCDEFGHK trawlers 10-24m</v>
      </c>
    </row>
    <row r="51" spans="1:11" s="78" customFormat="1">
      <c r="A51" s="101" t="str">
        <f>$B21&amp;CHAR(10)&amp;$A$1</f>
        <v>Average price per tonne landed (£)
Area VIIBCDEFGHK trawlers 10-24m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Area VIIBCDEFGHK trawlers 10-24m</v>
      </c>
      <c r="F63" s="101" t="str">
        <f>$B21&amp;CHAR(10)&amp;$A$1</f>
        <v>Average price per tonne landed (£)
Area VIIBCDEFGHK trawlers 10-24m</v>
      </c>
      <c r="K63" s="101" t="str">
        <f>"Average annual operating profit per vessel (£'000)"&amp;CHAR(10)&amp;$A$1</f>
        <v>Average annual operating profit per vessel (£'000)
Area VIIBCDEFGHK trawlers 10-24m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Area VIIBCDEFGHK trawlers 10-24m</v>
      </c>
      <c r="F77" s="101" t="str">
        <f>"Top 5 landed species by value in "&amp;A78&amp;CHAR(10)&amp;A1</f>
        <v>Top 5 landed species by value in 2021
Area VIIBCDEFGHK trawlers 10-24m</v>
      </c>
    </row>
    <row r="78" spans="1:11" s="101" customFormat="1">
      <c r="A78" s="101">
        <v>2021</v>
      </c>
      <c r="B78" s="101" t="s">
        <v>325</v>
      </c>
      <c r="C78" s="102">
        <v>0.12648553655333153</v>
      </c>
      <c r="D78" s="103">
        <v>11115023</v>
      </c>
      <c r="G78" s="101" t="s">
        <v>326</v>
      </c>
      <c r="H78" s="102">
        <v>0.15786669788730426</v>
      </c>
      <c r="I78" s="103">
        <v>12153634</v>
      </c>
      <c r="K78" s="101" t="s">
        <v>237</v>
      </c>
    </row>
    <row r="79" spans="1:11" s="101" customFormat="1">
      <c r="B79" s="101" t="s">
        <v>327</v>
      </c>
      <c r="C79" s="102">
        <v>0.11255578909306427</v>
      </c>
      <c r="D79" s="103">
        <v>553960</v>
      </c>
      <c r="G79" s="101" t="s">
        <v>328</v>
      </c>
      <c r="H79" s="102">
        <v>0.15110419564696376</v>
      </c>
      <c r="I79" s="103">
        <v>553960</v>
      </c>
    </row>
    <row r="80" spans="1:11" s="101" customFormat="1">
      <c r="B80" s="101" t="s">
        <v>329</v>
      </c>
      <c r="C80" s="102">
        <v>0.11139329952429797</v>
      </c>
      <c r="D80" s="103">
        <v>12153634</v>
      </c>
      <c r="G80" s="101" t="s">
        <v>330</v>
      </c>
      <c r="H80" s="102">
        <v>9.9781115011367841E-2</v>
      </c>
      <c r="I80" s="103">
        <v>3050596</v>
      </c>
    </row>
    <row r="81" spans="1:19" s="101" customFormat="1">
      <c r="B81" s="101" t="s">
        <v>331</v>
      </c>
      <c r="C81" s="102">
        <v>0.10873313587900739</v>
      </c>
      <c r="D81" s="103">
        <v>3689192</v>
      </c>
      <c r="G81" s="101" t="s">
        <v>332</v>
      </c>
      <c r="H81" s="102">
        <v>8.9421183443356311E-2</v>
      </c>
      <c r="I81" s="103">
        <v>1692097</v>
      </c>
    </row>
    <row r="82" spans="1:19" s="101" customFormat="1">
      <c r="B82" s="101" t="s">
        <v>333</v>
      </c>
      <c r="C82" s="102">
        <v>7.9146724157481835E-2</v>
      </c>
      <c r="D82" s="103">
        <v>2480382</v>
      </c>
      <c r="G82" s="101" t="s">
        <v>334</v>
      </c>
      <c r="H82" s="102">
        <v>6.9857926776074469E-2</v>
      </c>
      <c r="I82" s="103">
        <v>3689192</v>
      </c>
    </row>
    <row r="83" spans="1:19" s="101" customFormat="1">
      <c r="B83" s="101" t="s">
        <v>335</v>
      </c>
      <c r="C83" s="102">
        <v>0.46168551479281694</v>
      </c>
      <c r="D83" s="103">
        <v>5920853</v>
      </c>
      <c r="G83" s="101" t="s">
        <v>336</v>
      </c>
      <c r="H83" s="102">
        <v>0.43196888123493338</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162</v>
      </c>
      <c r="D93" s="107">
        <v>0.22855291347375897</v>
      </c>
      <c r="E93" s="107">
        <v>0.21216468615648737</v>
      </c>
      <c r="F93" s="107">
        <v>0.18660859042451419</v>
      </c>
      <c r="G93" s="107">
        <v>0.18116525478197865</v>
      </c>
      <c r="H93" s="107">
        <v>0.1114090788055733</v>
      </c>
      <c r="I93" s="107">
        <v>0.12391427717230459</v>
      </c>
      <c r="J93" s="107">
        <v>0.14153244613682647</v>
      </c>
      <c r="K93" s="107">
        <v>0.12406923635507563</v>
      </c>
      <c r="L93" s="107">
        <v>0.15786669788730426</v>
      </c>
      <c r="M93" s="107">
        <v>0.1005127112153141</v>
      </c>
      <c r="O93" s="101">
        <v>12153634</v>
      </c>
    </row>
    <row r="94" spans="1:19" s="101" customFormat="1" hidden="1">
      <c r="B94" s="101">
        <v>2</v>
      </c>
      <c r="C94" s="101" t="s">
        <v>180</v>
      </c>
      <c r="D94" s="107"/>
      <c r="E94" s="107">
        <v>0.10992614092339756</v>
      </c>
      <c r="F94" s="107">
        <v>0.17191068170665549</v>
      </c>
      <c r="G94" s="107">
        <v>0.19519569660232014</v>
      </c>
      <c r="H94" s="107">
        <v>0.3328633125362756</v>
      </c>
      <c r="I94" s="107">
        <v>0.13703770294416773</v>
      </c>
      <c r="J94" s="107">
        <v>0.16716818698503155</v>
      </c>
      <c r="K94" s="107">
        <v>0.16314210421247941</v>
      </c>
      <c r="L94" s="107">
        <v>0.15110419564696376</v>
      </c>
      <c r="M94" s="107">
        <v>0.21070479254624508</v>
      </c>
      <c r="O94" s="101">
        <v>553960</v>
      </c>
    </row>
    <row r="95" spans="1:19" s="101" customFormat="1" hidden="1">
      <c r="B95" s="101">
        <v>3</v>
      </c>
      <c r="C95" s="101" t="s">
        <v>175</v>
      </c>
      <c r="D95" s="107"/>
      <c r="E95" s="107"/>
      <c r="F95" s="107"/>
      <c r="G95" s="107"/>
      <c r="H95" s="107"/>
      <c r="I95" s="107"/>
      <c r="J95" s="107">
        <v>6.2303994123029512E-2</v>
      </c>
      <c r="K95" s="107">
        <v>7.6263632021264877E-2</v>
      </c>
      <c r="L95" s="107">
        <v>9.9781115011367841E-2</v>
      </c>
      <c r="M95" s="107">
        <v>8.9588066856720897E-2</v>
      </c>
      <c r="O95" s="101">
        <v>3050596</v>
      </c>
    </row>
    <row r="96" spans="1:19" s="101" customFormat="1" hidden="1">
      <c r="B96" s="101">
        <v>4</v>
      </c>
      <c r="C96" s="101" t="s">
        <v>161</v>
      </c>
      <c r="D96" s="107">
        <v>6.9352484412298743E-2</v>
      </c>
      <c r="E96" s="107">
        <v>7.3905013771125599E-2</v>
      </c>
      <c r="F96" s="107">
        <v>7.9531859877568667E-2</v>
      </c>
      <c r="G96" s="107">
        <v>8.6178627465457916E-2</v>
      </c>
      <c r="H96" s="107">
        <v>5.2754836546474573E-2</v>
      </c>
      <c r="I96" s="107">
        <v>7.3422283385218112E-2</v>
      </c>
      <c r="J96" s="107">
        <v>8.9598691374285208E-2</v>
      </c>
      <c r="K96" s="107">
        <v>0.11202861225842459</v>
      </c>
      <c r="L96" s="107">
        <v>8.9421183443356311E-2</v>
      </c>
      <c r="M96" s="107">
        <v>0.11068545656221405</v>
      </c>
      <c r="O96" s="101">
        <v>1692097</v>
      </c>
    </row>
    <row r="97" spans="1:15" s="101" customFormat="1" hidden="1">
      <c r="B97" s="101">
        <v>5</v>
      </c>
      <c r="C97" s="101" t="s">
        <v>337</v>
      </c>
      <c r="D97" s="107"/>
      <c r="E97" s="107"/>
      <c r="F97" s="107">
        <v>5.3811205469792844E-2</v>
      </c>
      <c r="G97" s="107">
        <v>4.023512790802674E-2</v>
      </c>
      <c r="H97" s="107"/>
      <c r="I97" s="107"/>
      <c r="J97" s="107"/>
      <c r="K97" s="107">
        <v>5.9479483259966132E-2</v>
      </c>
      <c r="L97" s="107">
        <v>6.9857926776074469E-2</v>
      </c>
      <c r="M97" s="107"/>
      <c r="O97" s="101">
        <v>3689192</v>
      </c>
    </row>
    <row r="98" spans="1:15" s="101" customFormat="1" hidden="1">
      <c r="B98" s="101">
        <v>6</v>
      </c>
      <c r="C98" s="101" t="s">
        <v>181</v>
      </c>
      <c r="D98" s="107">
        <v>0.11313551216495404</v>
      </c>
      <c r="E98" s="107">
        <v>0.11954291175096382</v>
      </c>
      <c r="F98" s="107">
        <v>9.6884274781710258E-2</v>
      </c>
      <c r="G98" s="107">
        <v>6.1122430121428123E-2</v>
      </c>
      <c r="H98" s="107">
        <v>6.8204233901612038E-2</v>
      </c>
      <c r="I98" s="107">
        <v>8.0152419468793826E-2</v>
      </c>
      <c r="J98" s="107">
        <v>6.605308399677462E-2</v>
      </c>
      <c r="K98" s="107"/>
      <c r="L98" s="107"/>
      <c r="M98" s="107">
        <v>0.12393909961271028</v>
      </c>
      <c r="O98" s="101">
        <v>11115023</v>
      </c>
    </row>
    <row r="99" spans="1:15" s="101" customFormat="1" hidden="1">
      <c r="B99" s="101">
        <v>7</v>
      </c>
      <c r="C99" s="101" t="s">
        <v>323</v>
      </c>
      <c r="D99" s="107"/>
      <c r="E99" s="107">
        <v>4.4567198947102628E-2</v>
      </c>
      <c r="F99" s="107"/>
      <c r="G99" s="107"/>
      <c r="H99" s="107"/>
      <c r="I99" s="107">
        <v>6.8869975762989644E-2</v>
      </c>
      <c r="J99" s="107"/>
      <c r="K99" s="107"/>
      <c r="L99" s="107"/>
      <c r="M99" s="107"/>
      <c r="O99" s="101">
        <v>2480382</v>
      </c>
    </row>
    <row r="100" spans="1:15" s="101" customFormat="1" hidden="1">
      <c r="B100" s="101">
        <v>8</v>
      </c>
      <c r="C100" s="101" t="s">
        <v>176</v>
      </c>
      <c r="D100" s="107">
        <v>6.1724910154270007E-2</v>
      </c>
      <c r="E100" s="107"/>
      <c r="F100" s="107"/>
      <c r="G100" s="107"/>
      <c r="H100" s="107">
        <v>8.7016925021437777E-2</v>
      </c>
      <c r="I100" s="107"/>
      <c r="J100" s="107"/>
      <c r="K100" s="107"/>
      <c r="L100" s="107"/>
      <c r="M100" s="107"/>
      <c r="O100" s="101">
        <v>7434864</v>
      </c>
    </row>
    <row r="101" spans="1:15" s="101" customFormat="1" hidden="1">
      <c r="B101" s="101">
        <v>9</v>
      </c>
      <c r="C101" s="101" t="s">
        <v>156</v>
      </c>
      <c r="D101" s="107">
        <v>7.975497210505321E-2</v>
      </c>
      <c r="E101" s="107"/>
      <c r="F101" s="107"/>
      <c r="G101" s="107"/>
      <c r="H101" s="107"/>
      <c r="I101" s="107"/>
      <c r="J101" s="107"/>
      <c r="K101" s="107"/>
      <c r="L101" s="107"/>
      <c r="M101" s="107"/>
      <c r="O101" s="101">
        <v>8497745</v>
      </c>
    </row>
    <row r="102" spans="1:15" s="101" customFormat="1" hidden="1">
      <c r="B102" s="101">
        <v>10</v>
      </c>
      <c r="C102" s="101" t="s">
        <v>251</v>
      </c>
      <c r="D102" s="107">
        <v>0.44747920768966504</v>
      </c>
      <c r="E102" s="107">
        <v>0.439894048450923</v>
      </c>
      <c r="F102" s="107">
        <v>0.41125338773975856</v>
      </c>
      <c r="G102" s="107">
        <v>0.43610286312078844</v>
      </c>
      <c r="H102" s="107">
        <v>0.34775161318862668</v>
      </c>
      <c r="I102" s="107">
        <v>0.51660334126652607</v>
      </c>
      <c r="J102" s="107">
        <v>0.47334359738405263</v>
      </c>
      <c r="K102" s="107">
        <v>0.46501693189278936</v>
      </c>
      <c r="L102" s="107">
        <v>0.43196888123493332</v>
      </c>
      <c r="M102" s="107">
        <v>0.36456987320679557</v>
      </c>
      <c r="O102" s="101">
        <v>5920853</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11</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11</v>
      </c>
      <c r="D121" s="52">
        <v>22</v>
      </c>
      <c r="E121" s="52">
        <v>11</v>
      </c>
      <c r="F121" s="53">
        <v>44</v>
      </c>
    </row>
    <row r="122" spans="1:15" ht="18" customHeight="1">
      <c r="A122" s="186" t="s">
        <v>198</v>
      </c>
      <c r="B122" s="35" t="s">
        <v>199</v>
      </c>
      <c r="C122" s="54">
        <v>13.179999351501465</v>
      </c>
      <c r="D122" s="54">
        <v>12.658182144165039</v>
      </c>
      <c r="E122" s="54">
        <v>11.526363372802734</v>
      </c>
      <c r="F122" s="55">
        <v>12.505681991577148</v>
      </c>
    </row>
    <row r="123" spans="1:15" ht="18" customHeight="1">
      <c r="A123" s="187"/>
      <c r="B123" s="37" t="s">
        <v>190</v>
      </c>
      <c r="C123" s="56">
        <v>219.36363220214844</v>
      </c>
      <c r="D123" s="56">
        <v>187.90908813476563</v>
      </c>
      <c r="E123" s="56">
        <v>165</v>
      </c>
      <c r="F123" s="57">
        <v>190.04545593261719</v>
      </c>
    </row>
    <row r="124" spans="1:15" ht="18" customHeight="1">
      <c r="A124" s="187"/>
      <c r="B124" s="37" t="s">
        <v>191</v>
      </c>
      <c r="C124" s="56">
        <v>36.090908050537109</v>
      </c>
      <c r="D124" s="56">
        <v>26.181818008422852</v>
      </c>
      <c r="E124" s="56">
        <v>19.090909957885742</v>
      </c>
      <c r="F124" s="57">
        <v>26.886363983154297</v>
      </c>
    </row>
    <row r="125" spans="1:15" ht="18" customHeight="1">
      <c r="A125" s="187"/>
      <c r="B125" s="37" t="s">
        <v>192</v>
      </c>
      <c r="C125" s="56">
        <v>171.92378234863281</v>
      </c>
      <c r="D125" s="56">
        <v>147.84806060791016</v>
      </c>
      <c r="E125" s="56">
        <v>124.62087249755859</v>
      </c>
      <c r="F125" s="57">
        <v>148.06019592285156</v>
      </c>
    </row>
    <row r="126" spans="1:15" ht="18" customHeight="1">
      <c r="A126" s="187"/>
      <c r="B126" s="37" t="s">
        <v>193</v>
      </c>
      <c r="C126" s="33">
        <v>156.57728576660156</v>
      </c>
      <c r="D126" s="33">
        <v>57.830112457275391</v>
      </c>
      <c r="E126" s="33">
        <v>27.423336029052734</v>
      </c>
      <c r="F126" s="58">
        <v>74.915214538574219</v>
      </c>
    </row>
    <row r="127" spans="1:15" ht="18" customHeight="1">
      <c r="A127" s="187"/>
      <c r="B127" s="37" t="s">
        <v>200</v>
      </c>
      <c r="C127" s="33">
        <f ca="1">379.8546875*OFFSET($L$113,MATCH($N$1,$C$113:$C$114,0)-1,0)</f>
        <v>379.85468750000001</v>
      </c>
      <c r="D127" s="33">
        <f ca="1">153.0699140625*OFFSET($L$113,MATCH($N$1,$C$113:$C$114,0)-1,0)</f>
        <v>153.0699140625</v>
      </c>
      <c r="E127" s="33">
        <f ca="1">67.999109375*OFFSET($L$113,MATCH($N$1,$C$113:$C$114,0)-1,0)</f>
        <v>67.999109375000003</v>
      </c>
      <c r="F127" s="58">
        <f ca="1">188.49840625*OFFSET($L$113,MATCH($N$1,$C$113:$C$114,0)-1,0)</f>
        <v>188.49840624999999</v>
      </c>
    </row>
    <row r="128" spans="1:15" ht="18" customHeight="1">
      <c r="A128" s="187"/>
      <c r="B128" s="37" t="s">
        <v>195</v>
      </c>
      <c r="C128" s="56">
        <v>173.63636779785156</v>
      </c>
      <c r="D128" s="56">
        <v>132.49999618530273</v>
      </c>
      <c r="E128" s="56">
        <v>119.54545593261719</v>
      </c>
      <c r="F128" s="57">
        <v>139.54545593261719</v>
      </c>
    </row>
    <row r="129" spans="1:15" ht="18" customHeight="1">
      <c r="A129" s="187"/>
      <c r="B129" s="37" t="s">
        <v>201</v>
      </c>
      <c r="C129" s="56">
        <v>15.090909004211426</v>
      </c>
      <c r="D129" s="56">
        <v>30.090909004211426</v>
      </c>
      <c r="E129" s="56">
        <v>34.454544067382813</v>
      </c>
      <c r="F129" s="57">
        <v>27.431818008422852</v>
      </c>
    </row>
    <row r="130" spans="1:15" ht="18" customHeight="1">
      <c r="A130" s="187"/>
      <c r="B130" s="37" t="s">
        <v>202</v>
      </c>
      <c r="C130" s="59">
        <v>0.90175396203994751</v>
      </c>
      <c r="D130" s="59">
        <v>0.43645369148840824</v>
      </c>
      <c r="E130" s="59">
        <v>0.22939673066139221</v>
      </c>
      <c r="F130" s="60">
        <v>0.53685170412063599</v>
      </c>
    </row>
    <row r="131" spans="1:15" ht="18" customHeight="1">
      <c r="A131" s="188"/>
      <c r="B131" s="39" t="s">
        <v>203</v>
      </c>
      <c r="C131" s="40">
        <f ca="1">2425.98845445707*OFFSET($L$113,MATCH($N$1,$C$113:$C$114,0)-1,0)</f>
        <v>2425.98845445707</v>
      </c>
      <c r="D131" s="40">
        <f ca="1">2646.88944147545*OFFSET($L$113,MATCH($N$1,$C$113:$C$114,0)-1,0)</f>
        <v>2646.88944147545</v>
      </c>
      <c r="E131" s="40">
        <f ca="1">2479.60748841646*OFFSET($L$113,MATCH($N$1,$C$113:$C$114,0)-1,0)</f>
        <v>2479.60748841646</v>
      </c>
      <c r="F131" s="61">
        <f ca="1">2516*OFFSET($L$113,MATCH($N$1,$C$113:$C$114,0)-1,0)</f>
        <v>2516</v>
      </c>
    </row>
    <row r="132" spans="1:15" ht="18" customHeight="1">
      <c r="A132" s="198" t="s">
        <v>204</v>
      </c>
      <c r="B132" s="35" t="s">
        <v>205</v>
      </c>
      <c r="C132" s="62">
        <v>4.0884028691849927</v>
      </c>
      <c r="D132" s="62">
        <v>2.2704579827592064</v>
      </c>
      <c r="E132" s="62">
        <v>1.2982801614104378</v>
      </c>
      <c r="F132" s="63">
        <v>2.7152516590806064</v>
      </c>
    </row>
    <row r="133" spans="1:15" ht="18" customHeight="1">
      <c r="A133" s="199"/>
      <c r="B133" s="37" t="s">
        <v>206</v>
      </c>
      <c r="C133" s="59">
        <f ca="1">9.91841815781193*OFFSET($L$113,MATCH($N$1,$C$113:$C$114,0)-1,0)</f>
        <v>9.9184181578119297</v>
      </c>
      <c r="D133" s="59">
        <f ca="1">6.00965126187899*OFFSET($L$113,MATCH($N$1,$C$113:$C$114,0)-1,0)</f>
        <v>6.0096512618789903</v>
      </c>
      <c r="E133" s="59">
        <f ca="1">3.21922521029585*OFFSET($L$113,MATCH($N$1,$C$113:$C$114,0)-1,0)</f>
        <v>3.2192252102958498</v>
      </c>
      <c r="F133" s="60">
        <f ca="1">6.83199819231411*OFFSET($L$113,MATCH($N$1,$C$113:$C$114,0)-1,0)</f>
        <v>6.83199819231411</v>
      </c>
    </row>
    <row r="134" spans="1:15" ht="18" customHeight="1">
      <c r="A134" s="199"/>
      <c r="B134" s="37" t="s">
        <v>153</v>
      </c>
      <c r="C134" s="59">
        <f ca="1">7.37812248036951*OFFSET($L$113,MATCH($N$1,$C$113:$C$114,0)-1,0)</f>
        <v>7.3781224803695098</v>
      </c>
      <c r="D134" s="59">
        <f ca="1">4.96952478067423*OFFSET($L$113,MATCH($N$1,$C$113:$C$114,0)-1,0)</f>
        <v>4.96952478067423</v>
      </c>
      <c r="E134" s="59">
        <f ca="1">3.18753270955405*OFFSET($L$113,MATCH($N$1,$C$113:$C$114,0)-1,0)</f>
        <v>3.1875327095540502</v>
      </c>
      <c r="F134" s="60">
        <f ca="1">5.46429211569756*OFFSET($L$113,MATCH($N$1,$C$113:$C$114,0)-1,0)</f>
        <v>5.4642921156975603</v>
      </c>
    </row>
    <row r="135" spans="1:15" ht="18" customHeight="1">
      <c r="A135" s="200"/>
      <c r="B135" s="39" t="s">
        <v>154</v>
      </c>
      <c r="C135" s="64">
        <f ca="1">2.54029567744242*OFFSET($L$113,MATCH($N$1,$C$113:$C$114,0)-1,0)</f>
        <v>2.5402956774424199</v>
      </c>
      <c r="D135" s="64">
        <f ca="1">1.04012648120476*OFFSET($L$113,MATCH($N$1,$C$113:$C$114,0)-1,0)</f>
        <v>1.0401264812047599</v>
      </c>
      <c r="E135" s="64">
        <f ca="1">0.0316925007418018*OFFSET($L$113,MATCH($N$1,$C$113:$C$114,0)-1,0)</f>
        <v>3.1692500741801799E-2</v>
      </c>
      <c r="F135" s="65">
        <f ca="1">1.36770607661655*OFFSET($L$113,MATCH($N$1,$C$113:$C$114,0)-1,0)</f>
        <v>1.3677060766165501</v>
      </c>
    </row>
    <row r="136" spans="1:15" ht="18" customHeight="1">
      <c r="A136" s="201" t="s">
        <v>260</v>
      </c>
      <c r="B136" s="37" t="s">
        <v>261</v>
      </c>
      <c r="C136" s="66">
        <f ca="1">38.6667734375*OFFSET($L$113,MATCH($N$1,$C$113:$C$114,0)-1,0)</f>
        <v>38.666773437499998</v>
      </c>
      <c r="D136" s="66">
        <f ca="1">28.2929208984375*OFFSET($L$113,MATCH($N$1,$C$113:$C$114,0)-1,0)</f>
        <v>28.292920898437501</v>
      </c>
      <c r="E136" s="66">
        <f ca="1">23.6683046875*OFFSET($L$113,MATCH($N$1,$C$113:$C$114,0)-1,0)</f>
        <v>23.668304687500001</v>
      </c>
      <c r="F136" s="67">
        <f ca="1">29.73023046875*OFFSET($L$113,MATCH($N$1,$C$113:$C$114,0)-1,0)</f>
        <v>29.730230468750001</v>
      </c>
    </row>
    <row r="137" spans="1:15" ht="18" customHeight="1">
      <c r="A137" s="202"/>
      <c r="B137" s="37" t="s">
        <v>262</v>
      </c>
      <c r="C137" s="31">
        <v>80909.094762498047</v>
      </c>
      <c r="D137" s="31">
        <v>59286.36097058095</v>
      </c>
      <c r="E137" s="31">
        <v>49199.999863446232</v>
      </c>
      <c r="F137" s="68">
        <v>62170.454545454544</v>
      </c>
    </row>
    <row r="138" spans="1:15" ht="18" customHeight="1">
      <c r="A138" s="202"/>
      <c r="B138" s="37" t="s">
        <v>263</v>
      </c>
      <c r="C138" s="31">
        <v>465.96859741210938</v>
      </c>
      <c r="D138" s="31">
        <v>447.44424662222866</v>
      </c>
      <c r="E138" s="31">
        <v>411.55892944335938</v>
      </c>
      <c r="F138" s="68">
        <v>445.52117919921875</v>
      </c>
    </row>
    <row r="139" spans="1:15" ht="18" customHeight="1">
      <c r="A139" s="202"/>
      <c r="B139" s="37" t="s">
        <v>264</v>
      </c>
      <c r="C139" s="31">
        <f ca="1">222.688218648504*OFFSET($L$113,MATCH($N$1,$C$113:$C$114,0)-1,0)</f>
        <v>222.68821864850401</v>
      </c>
      <c r="D139" s="31">
        <f ca="1">213.531484626381*OFFSET($L$113,MATCH($N$1,$C$113:$C$114,0)-1,0)</f>
        <v>213.531484626381</v>
      </c>
      <c r="E139" s="31">
        <f ca="1">197.985816381351*OFFSET($L$113,MATCH($N$1,$C$113:$C$114,0)-1,0)</f>
        <v>197.98581638135099</v>
      </c>
      <c r="F139" s="68">
        <f ca="1">213.050509384598*OFFSET($L$113,MATCH($N$1,$C$113:$C$114,0)-1,0)</f>
        <v>213.050509384598</v>
      </c>
      <c r="I139" s="43"/>
      <c r="L139" s="69" t="str">
        <f>C120</f>
        <v>Most
profitable
quartile</v>
      </c>
      <c r="M139" s="69" t="str">
        <f>D120</f>
        <v>Middle
two quartiles</v>
      </c>
      <c r="N139" s="69" t="str">
        <f>E120</f>
        <v>Least
profitable
quartile</v>
      </c>
      <c r="O139" s="69"/>
    </row>
    <row r="140" spans="1:15" ht="18" customHeight="1">
      <c r="A140" s="202"/>
      <c r="B140" s="37" t="s">
        <v>265</v>
      </c>
      <c r="C140" s="31">
        <f ca="1">246.950081221473*OFFSET($L$113,MATCH($N$1,$C$113:$C$114,0)-1,0)</f>
        <v>246.950081221473</v>
      </c>
      <c r="D140" s="31">
        <f ca="1">489.242017631215*OFFSET($L$113,MATCH($N$1,$C$113:$C$114,0)-1,0)</f>
        <v>489.24201763121499</v>
      </c>
      <c r="E140" s="31">
        <f ca="1">863.071679624441*OFFSET($L$113,MATCH($N$1,$C$113:$C$114,0)-1,0)</f>
        <v>863.071679624441</v>
      </c>
      <c r="F140" s="68">
        <f ca="1">396.851702980064*OFFSET($L$113,MATCH($N$1,$C$113:$C$114,0)-1,0)</f>
        <v>396.85170298006398</v>
      </c>
      <c r="I140" s="43"/>
      <c r="K140" s="69" t="s">
        <v>266</v>
      </c>
      <c r="L140" s="70">
        <f t="shared" ref="L140:M142" ca="1" si="2">C141</f>
        <v>379.85468750000001</v>
      </c>
      <c r="M140" s="70">
        <f t="shared" ca="1" si="2"/>
        <v>153.0699140625</v>
      </c>
      <c r="N140" s="70">
        <f ca="1">E141</f>
        <v>67.999109375000003</v>
      </c>
      <c r="O140" s="70"/>
    </row>
    <row r="141" spans="1:15" ht="18" customHeight="1">
      <c r="A141" s="179" t="s">
        <v>267</v>
      </c>
      <c r="B141" s="35" t="s">
        <v>268</v>
      </c>
      <c r="C141" s="71">
        <f ca="1">379.8546875*OFFSET($L$113,MATCH($N$1,$C$113:$C$114,0)-1,0)</f>
        <v>379.85468750000001</v>
      </c>
      <c r="D141" s="71">
        <f ca="1">153.0699140625*OFFSET($L$113,MATCH($N$1,$C$113:$C$114,0)-1,0)</f>
        <v>153.0699140625</v>
      </c>
      <c r="E141" s="71">
        <f ca="1">67.999109375*OFFSET($L$113,MATCH($N$1,$C$113:$C$114,0)-1,0)</f>
        <v>67.999109375000003</v>
      </c>
      <c r="F141" s="72">
        <f ca="1">188.49840625*OFFSET($L$113,MATCH($N$1,$C$113:$C$114,0)-1,0)</f>
        <v>188.49840624999999</v>
      </c>
      <c r="I141" s="43"/>
      <c r="K141" s="69" t="s">
        <v>269</v>
      </c>
      <c r="L141" s="70">
        <f t="shared" ca="1" si="2"/>
        <v>282.5666875</v>
      </c>
      <c r="M141" s="70">
        <f t="shared" ca="1" si="2"/>
        <v>126.57718359374999</v>
      </c>
      <c r="N141" s="70">
        <f ca="1">E142</f>
        <v>67.329671875000003</v>
      </c>
      <c r="O141" s="70"/>
    </row>
    <row r="142" spans="1:15" ht="18" customHeight="1">
      <c r="A142" s="180"/>
      <c r="B142" s="37" t="s">
        <v>270</v>
      </c>
      <c r="C142" s="31">
        <f ca="1">282.5666875*OFFSET($L$113,MATCH($N$1,$C$113:$C$114,0)-1,0)</f>
        <v>282.5666875</v>
      </c>
      <c r="D142" s="31">
        <f ca="1">126.57718359375*OFFSET($L$113,MATCH($N$1,$C$113:$C$114,0)-1,0)</f>
        <v>126.57718359374999</v>
      </c>
      <c r="E142" s="31">
        <f ca="1">67.329671875*OFFSET($L$113,MATCH($N$1,$C$113:$C$114,0)-1,0)</f>
        <v>67.329671875000003</v>
      </c>
      <c r="F142" s="68">
        <f ca="1">150.762671875*OFFSET($L$113,MATCH($N$1,$C$113:$C$114,0)-1,0)</f>
        <v>150.762671875</v>
      </c>
      <c r="I142" s="43"/>
      <c r="K142" s="69" t="s">
        <v>271</v>
      </c>
      <c r="L142" s="70">
        <f t="shared" ca="1" si="2"/>
        <v>97.287999999999997</v>
      </c>
      <c r="M142" s="70">
        <f t="shared" ca="1" si="2"/>
        <v>26.49273046875</v>
      </c>
      <c r="N142" s="70">
        <f ca="1">E143</f>
        <v>0.66943750000000002</v>
      </c>
      <c r="O142" s="70"/>
    </row>
    <row r="143" spans="1:15" ht="18" customHeight="1">
      <c r="A143" s="181"/>
      <c r="B143" s="39" t="s">
        <v>272</v>
      </c>
      <c r="C143" s="40">
        <f ca="1">97.288*OFFSET($L$113,MATCH($N$1,$C$113:$C$114,0)-1,0)</f>
        <v>97.287999999999997</v>
      </c>
      <c r="D143" s="40">
        <f ca="1">26.49273046875*OFFSET($L$113,MATCH($N$1,$C$113:$C$114,0)-1,0)</f>
        <v>26.49273046875</v>
      </c>
      <c r="E143" s="40">
        <f ca="1">0.6694375*OFFSET($L$113,MATCH($N$1,$C$113:$C$114,0)-1,0)</f>
        <v>0.66943750000000002</v>
      </c>
      <c r="F143" s="61">
        <f ca="1">37.7357265625*OFFSET($L$113,MATCH($N$1,$C$113:$C$114,0)-1,0)</f>
        <v>37.735726562499998</v>
      </c>
      <c r="I143" s="43"/>
      <c r="K143" s="69" t="s">
        <v>273</v>
      </c>
      <c r="L143" s="73">
        <f ca="1">IFERROR(L141/L$140,"")</f>
        <v>0.74388100712854832</v>
      </c>
      <c r="M143" s="73">
        <f t="shared" ref="M143:N144" ca="1" si="3">IFERROR(M141/M$140,"")</f>
        <v>0.82692398678728751</v>
      </c>
      <c r="N143" s="73">
        <f t="shared" ca="1" si="3"/>
        <v>0.99015520194083428</v>
      </c>
      <c r="O143" s="73"/>
    </row>
    <row r="144" spans="1:15" ht="18" customHeight="1">
      <c r="I144" s="43"/>
      <c r="K144" s="69" t="s">
        <v>274</v>
      </c>
      <c r="L144" s="73">
        <f ca="1">IFERROR(L142/L$140,"")</f>
        <v>0.25611899287145162</v>
      </c>
      <c r="M144" s="73">
        <f t="shared" ca="1" si="3"/>
        <v>0.17307601321271238</v>
      </c>
      <c r="N144" s="73">
        <f t="shared" ca="1" si="3"/>
        <v>9.8447980591657557E-3</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10</v>
      </c>
      <c r="B162" s="48"/>
      <c r="C162" s="74" t="s">
        <v>255</v>
      </c>
      <c r="D162" s="74" t="s">
        <v>276</v>
      </c>
      <c r="E162" s="74" t="s">
        <v>257</v>
      </c>
      <c r="F162" s="74" t="s">
        <v>277</v>
      </c>
      <c r="G162" s="75">
        <v>8</v>
      </c>
      <c r="H162" s="74"/>
      <c r="I162" s="74" t="s">
        <v>255</v>
      </c>
      <c r="J162" s="74" t="s">
        <v>276</v>
      </c>
      <c r="K162" s="74" t="s">
        <v>257</v>
      </c>
      <c r="L162" s="48" t="s">
        <v>277</v>
      </c>
      <c r="R162" s="21"/>
      <c r="S162" s="21"/>
    </row>
    <row r="163" spans="1:19" s="43" customFormat="1">
      <c r="A163" s="44">
        <v>1</v>
      </c>
      <c r="B163" s="48" t="s">
        <v>162</v>
      </c>
      <c r="C163" s="48">
        <v>0.10037261792468376</v>
      </c>
      <c r="D163" s="48">
        <v>0.15740283308197131</v>
      </c>
      <c r="E163" s="48">
        <v>0.1235188832989856</v>
      </c>
      <c r="F163" s="44">
        <v>12153634</v>
      </c>
      <c r="G163" s="44">
        <v>1</v>
      </c>
      <c r="H163" s="48" t="s">
        <v>162</v>
      </c>
      <c r="I163" s="48">
        <v>0.15020338797190935</v>
      </c>
      <c r="J163" s="48">
        <v>0.20170031667220986</v>
      </c>
      <c r="K163" s="48">
        <v>0.18607512400572382</v>
      </c>
      <c r="L163" s="44">
        <v>12153634</v>
      </c>
      <c r="R163" s="21"/>
      <c r="S163" s="21"/>
    </row>
    <row r="164" spans="1:19" s="43" customFormat="1">
      <c r="A164" s="44">
        <v>2</v>
      </c>
      <c r="B164" s="48" t="s">
        <v>180</v>
      </c>
      <c r="C164" s="48">
        <v>0.12640983095565517</v>
      </c>
      <c r="D164" s="48">
        <v>0.13073083840167543</v>
      </c>
      <c r="E164" s="48">
        <v>7.5776198072837309E-2</v>
      </c>
      <c r="F164" s="44">
        <v>553960</v>
      </c>
      <c r="G164" s="44">
        <v>2</v>
      </c>
      <c r="H164" s="48" t="s">
        <v>180</v>
      </c>
      <c r="I164" s="48">
        <v>0.17937192810879368</v>
      </c>
      <c r="J164" s="48">
        <v>0.15744649438587829</v>
      </c>
      <c r="K164" s="48">
        <v>0.10729123932314406</v>
      </c>
      <c r="L164" s="44">
        <v>553960</v>
      </c>
      <c r="N164" s="43" t="s">
        <v>278</v>
      </c>
      <c r="R164" s="21"/>
      <c r="S164" s="21"/>
    </row>
    <row r="165" spans="1:19" s="43" customFormat="1">
      <c r="A165" s="44">
        <v>3</v>
      </c>
      <c r="B165" s="48" t="s">
        <v>293</v>
      </c>
      <c r="C165" s="48">
        <v>0.13689527150266845</v>
      </c>
      <c r="D165" s="48">
        <v>0.12145315142078111</v>
      </c>
      <c r="E165" s="48">
        <v>0.19880744579975065</v>
      </c>
      <c r="F165" s="44">
        <v>11115023</v>
      </c>
      <c r="G165" s="44">
        <v>3</v>
      </c>
      <c r="H165" s="48" t="s">
        <v>175</v>
      </c>
      <c r="I165" s="48">
        <v>8.2230797027204386E-2</v>
      </c>
      <c r="J165" s="48">
        <v>0.1415614957579531</v>
      </c>
      <c r="K165" s="48">
        <v>0.13797714587330165</v>
      </c>
      <c r="L165" s="44">
        <v>3050596</v>
      </c>
      <c r="N165" s="43" t="s">
        <v>279</v>
      </c>
      <c r="R165" s="21"/>
      <c r="S165" s="21"/>
    </row>
    <row r="166" spans="1:19" s="43" customFormat="1">
      <c r="A166" s="44">
        <v>4</v>
      </c>
      <c r="B166" s="48" t="s">
        <v>161</v>
      </c>
      <c r="C166" s="48">
        <v>0</v>
      </c>
      <c r="D166" s="48">
        <v>9.7998561489847494E-2</v>
      </c>
      <c r="E166" s="48">
        <v>0</v>
      </c>
      <c r="F166" s="44">
        <v>1692097</v>
      </c>
      <c r="G166" s="44">
        <v>4</v>
      </c>
      <c r="H166" s="48" t="s">
        <v>161</v>
      </c>
      <c r="I166" s="48">
        <v>7.5715529913788826E-2</v>
      </c>
      <c r="J166" s="48">
        <v>0.13290704826151994</v>
      </c>
      <c r="K166" s="48">
        <v>9.0620923406225254E-2</v>
      </c>
      <c r="L166" s="44">
        <v>1692097</v>
      </c>
      <c r="R166" s="21"/>
      <c r="S166" s="21"/>
    </row>
    <row r="167" spans="1:19" s="43" customFormat="1">
      <c r="A167" s="44">
        <v>5</v>
      </c>
      <c r="B167" s="48" t="s">
        <v>250</v>
      </c>
      <c r="C167" s="48">
        <v>8.6326870497756364E-2</v>
      </c>
      <c r="D167" s="48">
        <v>9.0980919094203527E-2</v>
      </c>
      <c r="E167" s="48">
        <v>0</v>
      </c>
      <c r="F167" s="44">
        <v>2480382</v>
      </c>
      <c r="G167" s="44">
        <v>5</v>
      </c>
      <c r="H167" s="48" t="s">
        <v>169</v>
      </c>
      <c r="I167" s="48">
        <v>0</v>
      </c>
      <c r="J167" s="48">
        <v>7.4205335493083821E-2</v>
      </c>
      <c r="K167" s="48">
        <v>9.2438048068067741E-2</v>
      </c>
      <c r="L167" s="44">
        <v>7434864</v>
      </c>
      <c r="R167" s="21"/>
      <c r="S167" s="21"/>
    </row>
    <row r="168" spans="1:19" s="43" customFormat="1">
      <c r="A168" s="44">
        <v>6</v>
      </c>
      <c r="B168" s="48" t="s">
        <v>169</v>
      </c>
      <c r="C168" s="48">
        <v>0</v>
      </c>
      <c r="D168" s="48">
        <v>0</v>
      </c>
      <c r="E168" s="48">
        <v>0.10864503094534</v>
      </c>
      <c r="F168" s="44">
        <v>7434864</v>
      </c>
      <c r="G168" s="44">
        <v>6</v>
      </c>
      <c r="H168" s="48" t="s">
        <v>337</v>
      </c>
      <c r="I168" s="48">
        <v>9.9342294845343848E-2</v>
      </c>
      <c r="J168" s="48">
        <v>0</v>
      </c>
      <c r="K168" s="48">
        <v>0</v>
      </c>
      <c r="L168" s="44">
        <v>3689192</v>
      </c>
      <c r="R168" s="21"/>
      <c r="S168" s="21"/>
    </row>
    <row r="169" spans="1:19" s="43" customFormat="1">
      <c r="A169" s="44">
        <v>7</v>
      </c>
      <c r="B169" s="48" t="s">
        <v>338</v>
      </c>
      <c r="C169" s="48">
        <v>0</v>
      </c>
      <c r="D169" s="48">
        <v>0</v>
      </c>
      <c r="E169" s="48">
        <v>9.3779448959790027E-2</v>
      </c>
      <c r="F169" s="44">
        <v>8497745</v>
      </c>
      <c r="G169" s="44">
        <v>7</v>
      </c>
      <c r="H169" s="48" t="s">
        <v>251</v>
      </c>
      <c r="I169" s="48">
        <v>0.41313606213295995</v>
      </c>
      <c r="J169" s="48">
        <v>0.29217930942935499</v>
      </c>
      <c r="K169" s="48">
        <v>0.38559751932353747</v>
      </c>
      <c r="L169" s="44">
        <v>5920853</v>
      </c>
      <c r="R169" s="21"/>
      <c r="S169" s="21"/>
    </row>
    <row r="170" spans="1:19" s="43" customFormat="1">
      <c r="A170" s="44">
        <v>8</v>
      </c>
      <c r="B170" s="48" t="s">
        <v>337</v>
      </c>
      <c r="C170" s="48">
        <v>0.14828847854419716</v>
      </c>
      <c r="D170" s="48">
        <v>0</v>
      </c>
      <c r="E170" s="48">
        <v>0</v>
      </c>
      <c r="F170" s="44">
        <v>3689192</v>
      </c>
      <c r="G170" s="44">
        <v>8</v>
      </c>
      <c r="H170" s="48"/>
      <c r="I170" s="48">
        <v>0</v>
      </c>
      <c r="J170" s="48">
        <v>0</v>
      </c>
      <c r="K170" s="48">
        <v>0</v>
      </c>
      <c r="L170" s="44"/>
      <c r="R170" s="21"/>
      <c r="S170" s="21"/>
    </row>
    <row r="171" spans="1:19" s="43" customFormat="1">
      <c r="A171" s="44">
        <v>9</v>
      </c>
      <c r="B171" s="48" t="s">
        <v>251</v>
      </c>
      <c r="C171" s="48">
        <v>0.40170693057503915</v>
      </c>
      <c r="D171" s="48">
        <v>0.40143369651152105</v>
      </c>
      <c r="E171" s="48">
        <v>0.39947299292329641</v>
      </c>
      <c r="F171" s="44">
        <v>5920853</v>
      </c>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5CDA6A81-194F-4887-A16B-4703EE56C1FE}">
      <formula1>$C$113:$C$114</formula1>
    </dataValidation>
  </dataValidations>
  <hyperlinks>
    <hyperlink ref="O1:P1" location="Home_page" display="Back to home page" xr:uid="{6AE63EF7-9075-4AD3-BCCF-E66B81C3CCD1}"/>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F8087727-246D-412F-8539-4A6D14C2B4ED}">
          <x14:colorSeries rgb="FF323232"/>
          <x14:colorNegative rgb="FFD00000"/>
          <x14:colorAxis rgb="FF000000"/>
          <x14:colorMarkers rgb="FFD00000"/>
          <x14:colorFirst rgb="FFD00000"/>
          <x14:colorLast rgb="FFD00000"/>
          <x14:colorHigh rgb="FFD00000"/>
          <x14:colorLow rgb="FFD00000"/>
          <x14:sparklines>
            <x14:sparkline>
              <xm:f>'Area VIIb-k trawlers 10-24m'!D3:N3</xm:f>
              <xm:sqref>C3</xm:sqref>
            </x14:sparkline>
            <x14:sparkline>
              <xm:f>'Area VIIb-k trawlers 10-24m'!D4:N4</xm:f>
              <xm:sqref>C4</xm:sqref>
            </x14:sparkline>
            <x14:sparkline>
              <xm:f>'Area VIIb-k trawlers 10-24m'!D5:N5</xm:f>
              <xm:sqref>C5</xm:sqref>
            </x14:sparkline>
            <x14:sparkline>
              <xm:f>'Area VIIb-k trawlers 10-24m'!D6:N6</xm:f>
              <xm:sqref>C6</xm:sqref>
            </x14:sparkline>
            <x14:sparkline>
              <xm:f>'Area VIIb-k trawlers 10-24m'!D7:N7</xm:f>
              <xm:sqref>C7</xm:sqref>
            </x14:sparkline>
            <x14:sparkline>
              <xm:f>'Area VIIb-k trawlers 10-24m'!D8:N8</xm:f>
              <xm:sqref>C8</xm:sqref>
            </x14:sparkline>
            <x14:sparkline>
              <xm:f>'Area VIIb-k trawlers 10-24m'!D9:N9</xm:f>
              <xm:sqref>C9</xm:sqref>
            </x14:sparkline>
            <x14:sparkline>
              <xm:f>'Area VIIb-k trawlers 10-24m'!D10:N10</xm:f>
              <xm:sqref>C10</xm:sqref>
            </x14:sparkline>
            <x14:sparkline>
              <xm:f>'Area VIIb-k trawlers 10-24m'!D11:N11</xm:f>
              <xm:sqref>C11</xm:sqref>
            </x14:sparkline>
            <x14:sparkline>
              <xm:f>'Area VIIb-k trawlers 10-24m'!D12:N12</xm:f>
              <xm:sqref>C12</xm:sqref>
            </x14:sparkline>
            <x14:sparkline>
              <xm:f>'Area VIIb-k trawlers 10-24m'!D13:N13</xm:f>
              <xm:sqref>C13</xm:sqref>
            </x14:sparkline>
            <x14:sparkline>
              <xm:f>'Area VIIb-k trawlers 10-24m'!D14:N14</xm:f>
              <xm:sqref>C14</xm:sqref>
            </x14:sparkline>
            <x14:sparkline>
              <xm:f>'Area VIIb-k trawlers 10-24m'!D15:N15</xm:f>
              <xm:sqref>C15</xm:sqref>
            </x14:sparkline>
            <x14:sparkline>
              <xm:f>'Area VIIb-k trawlers 10-24m'!D16:N16</xm:f>
              <xm:sqref>C16</xm:sqref>
            </x14:sparkline>
            <x14:sparkline>
              <xm:f>'Area VIIb-k trawlers 10-24m'!D17:N17</xm:f>
              <xm:sqref>C17</xm:sqref>
            </x14:sparkline>
            <x14:sparkline>
              <xm:f>'Area VIIb-k trawlers 10-24m'!D18:N18</xm:f>
              <xm:sqref>C18</xm:sqref>
            </x14:sparkline>
            <x14:sparkline>
              <xm:f>'Area VIIb-k trawlers 10-24m'!D19:N19</xm:f>
              <xm:sqref>C19</xm:sqref>
            </x14:sparkline>
            <x14:sparkline>
              <xm:f>'Area VIIb-k trawlers 10-24m'!D20:N20</xm:f>
              <xm:sqref>C20</xm:sqref>
            </x14:sparkline>
            <x14:sparkline>
              <xm:f>'Area VIIb-k trawlers 10-24m'!D21:N21</xm:f>
              <xm:sqref>C21</xm:sqref>
            </x14:sparkline>
            <x14:sparkline>
              <xm:f>'Area VIIb-k trawlers 10-24m'!D22:N22</xm:f>
              <xm:sqref>C22</xm:sqref>
            </x14:sparkline>
            <x14:sparkline>
              <xm:f>'Area VIIb-k trawlers 10-24m'!D23:N23</xm:f>
              <xm:sqref>C23</xm:sqref>
            </x14:sparkline>
            <x14:sparkline>
              <xm:f>'Area VIIb-k trawlers 10-24m'!D24:N24</xm:f>
              <xm:sqref>C24</xm:sqref>
            </x14:sparkline>
            <x14:sparkline>
              <xm:f>'Area VIIb-k trawlers 10-24m'!D25:N25</xm:f>
              <xm:sqref>C25</xm:sqref>
            </x14:sparkline>
            <x14:sparkline>
              <xm:f>'Area VIIb-k trawlers 10-24m'!D26:N26</xm:f>
              <xm:sqref>C26</xm:sqref>
            </x14:sparkline>
            <x14:sparkline>
              <xm:f>'Area VIIb-k trawlers 10-24m'!D27:N27</xm:f>
              <xm:sqref>C27</xm:sqref>
            </x14:sparkline>
            <x14:sparkline>
              <xm:f>'Area VIIb-k trawlers 10-24m'!D28:N28</xm:f>
              <xm:sqref>C28</xm:sqref>
            </x14:sparkline>
            <x14:sparkline>
              <xm:f>'Area VIIb-k trawlers 10-24m'!D29:N29</xm:f>
              <xm:sqref>C29</xm:sqref>
            </x14:sparkline>
            <x14:sparkline>
              <xm:f>'Area VIIb-k trawlers 10-24m'!D30:N30</xm:f>
              <xm:sqref>C30</xm:sqref>
            </x14:sparkline>
            <x14:sparkline>
              <xm:f>'Area VIIb-k trawlers 10-24m'!D31:N31</xm:f>
              <xm:sqref>C31</xm:sqref>
            </x14:sparkline>
            <x14:sparkline>
              <xm:f>'Area VIIb-k trawlers 10-24m'!D32:N32</xm:f>
              <xm:sqref>C32</xm:sqref>
            </x14:sparkline>
            <x14:sparkline>
              <xm:f>'Area VIIb-k trawlers 10-24m'!D33:N33</xm:f>
              <xm:sqref>C33</xm:sqref>
            </x14:sparkline>
            <x14:sparkline>
              <xm:f>'Area VIIb-k trawlers 10-24m'!D34:N34</xm:f>
              <xm:sqref>C34</xm:sqref>
            </x14:sparkline>
            <x14:sparkline>
              <xm:f>'Area VIIb-k trawlers 10-24m'!D35:N35</xm:f>
              <xm:sqref>C35</xm:sqref>
            </x14:sparkline>
            <x14:sparkline>
              <xm:f>'Area VIIb-k trawlers 10-24m'!D36:N36</xm:f>
              <xm:sqref>C36</xm:sqref>
            </x14:sparkline>
            <x14:sparkline>
              <xm:f>'Area VIIb-k trawlers 10-24m'!D37:N37</xm:f>
              <xm:sqref>C37</xm:sqref>
            </x14:sparkline>
            <x14:sparkline>
              <xm:f>'Area VIIb-k trawlers 10-24m'!D38:N38</xm:f>
              <xm:sqref>C38</xm:sqref>
            </x14:sparkline>
            <x14:sparkline>
              <xm:f>'Area VIIb-k trawlers 10-24m'!D39:N39</xm:f>
              <xm:sqref>C39</xm:sqref>
            </x14:sparkline>
            <x14:sparkline>
              <xm:f>'Area VIIb-k trawlers 10-24m'!D40:N40</xm:f>
              <xm:sqref>C40</xm:sqref>
            </x14:sparkline>
            <x14:sparkline>
              <xm:f>'Area VIIb-k trawlers 10-24m'!D41:N41</xm:f>
              <xm:sqref>C41</xm:sqref>
            </x14:sparkline>
            <x14:sparkline>
              <xm:f>'Area VIIb-k trawlers 10-24m'!D42:N42</xm:f>
              <xm:sqref>C42</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BF11-0B5C-4F84-8BEB-D6D52A48C74C}">
  <sheetPr codeName="Feuil11">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15</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40</v>
      </c>
      <c r="E3" s="28">
        <v>37</v>
      </c>
      <c r="F3" s="28">
        <v>36</v>
      </c>
      <c r="G3" s="28">
        <v>31</v>
      </c>
      <c r="H3" s="28">
        <v>30</v>
      </c>
      <c r="I3" s="28">
        <v>30</v>
      </c>
      <c r="J3" s="28">
        <v>26</v>
      </c>
      <c r="K3" s="28">
        <v>27</v>
      </c>
      <c r="L3" s="28">
        <v>26</v>
      </c>
      <c r="M3" s="28">
        <v>26</v>
      </c>
      <c r="N3" s="28">
        <v>29</v>
      </c>
      <c r="O3" s="29">
        <f t="shared" ref="O3:O42" si="0">IF(N3=0,"",IFERROR(IF(AND(N3&gt;0,D3&lt;0),"na",IF(AND(N3&lt;0,D3&lt;0),-1,1)*(N3-D3)/D3),""))</f>
        <v>-0.27500000000000002</v>
      </c>
      <c r="P3" s="29">
        <f t="shared" ref="P3:P42" si="1">IF(N3=0,"",IFERROR(IF(AND(N3&gt;0,J3&lt;0),"na",IF(AND(N3&lt;0,J3&lt;0),-1,1)*(N3-J3)/J3),""))</f>
        <v>0.11538461538461539</v>
      </c>
    </row>
    <row r="4" spans="1:17" ht="18" customHeight="1">
      <c r="A4" s="185"/>
      <c r="B4" s="30" t="s">
        <v>190</v>
      </c>
      <c r="C4" s="31"/>
      <c r="D4" s="31">
        <v>12211</v>
      </c>
      <c r="E4" s="31">
        <v>11722</v>
      </c>
      <c r="F4" s="31">
        <v>11356</v>
      </c>
      <c r="G4" s="31">
        <v>10328</v>
      </c>
      <c r="H4" s="31">
        <v>9283</v>
      </c>
      <c r="I4" s="31">
        <v>8429</v>
      </c>
      <c r="J4" s="31">
        <v>7868</v>
      </c>
      <c r="K4" s="31">
        <v>8300</v>
      </c>
      <c r="L4" s="31">
        <v>8446</v>
      </c>
      <c r="M4" s="31">
        <v>8599</v>
      </c>
      <c r="N4" s="31">
        <v>9135</v>
      </c>
      <c r="O4" s="29">
        <f t="shared" si="0"/>
        <v>-0.25190402096470393</v>
      </c>
      <c r="P4" s="29">
        <f t="shared" si="1"/>
        <v>0.1610320284697509</v>
      </c>
    </row>
    <row r="5" spans="1:17" ht="18" customHeight="1">
      <c r="A5" s="185"/>
      <c r="B5" s="30" t="s">
        <v>191</v>
      </c>
      <c r="C5" s="31"/>
      <c r="D5" s="31">
        <v>4886</v>
      </c>
      <c r="E5" s="31">
        <v>4753</v>
      </c>
      <c r="F5" s="31">
        <v>4426</v>
      </c>
      <c r="G5" s="31">
        <v>4342</v>
      </c>
      <c r="H5" s="31">
        <v>3891</v>
      </c>
      <c r="I5" s="31">
        <v>3346</v>
      </c>
      <c r="J5" s="31">
        <v>3191</v>
      </c>
      <c r="K5" s="31">
        <v>3416</v>
      </c>
      <c r="L5" s="31">
        <v>3544</v>
      </c>
      <c r="M5" s="31">
        <v>3636</v>
      </c>
      <c r="N5" s="31">
        <v>3820</v>
      </c>
      <c r="O5" s="29">
        <f t="shared" si="0"/>
        <v>-0.21817437576749898</v>
      </c>
      <c r="P5" s="29">
        <f t="shared" si="1"/>
        <v>0.19711689125665935</v>
      </c>
      <c r="Q5" s="32"/>
    </row>
    <row r="6" spans="1:17" ht="18" customHeight="1">
      <c r="A6" s="185"/>
      <c r="B6" s="30" t="s">
        <v>192</v>
      </c>
      <c r="C6" s="31"/>
      <c r="D6" s="31">
        <v>10586.955078125</v>
      </c>
      <c r="E6" s="31">
        <v>10070.4033203125</v>
      </c>
      <c r="F6" s="31">
        <v>9688.744140625</v>
      </c>
      <c r="G6" s="31">
        <v>8973.2890625</v>
      </c>
      <c r="H6" s="31">
        <v>8074.69091796875</v>
      </c>
      <c r="I6" s="31">
        <v>7347.84619140625</v>
      </c>
      <c r="J6" s="31">
        <v>6782.00537109375</v>
      </c>
      <c r="K6" s="31">
        <v>7206.5537109375</v>
      </c>
      <c r="L6" s="31">
        <v>7266.34326171875</v>
      </c>
      <c r="M6" s="31">
        <v>7399.72509765625</v>
      </c>
      <c r="N6" s="31">
        <v>7877.3271484375</v>
      </c>
      <c r="O6" s="29">
        <f t="shared" si="0"/>
        <v>-0.25594025002393683</v>
      </c>
      <c r="P6" s="29">
        <f t="shared" si="1"/>
        <v>0.16150411528900113</v>
      </c>
    </row>
    <row r="7" spans="1:17" ht="18" customHeight="1">
      <c r="A7" s="185"/>
      <c r="B7" s="30" t="s">
        <v>193</v>
      </c>
      <c r="C7" s="31"/>
      <c r="D7" s="31">
        <v>8921.115234375</v>
      </c>
      <c r="E7" s="31">
        <v>9466.8291015625</v>
      </c>
      <c r="F7" s="31">
        <v>8903.1083984375</v>
      </c>
      <c r="G7" s="31">
        <v>7702.2734375</v>
      </c>
      <c r="H7" s="31">
        <v>8023.09765625</v>
      </c>
      <c r="I7" s="31">
        <v>7636.10107421875</v>
      </c>
      <c r="J7" s="31">
        <v>8388.64453125</v>
      </c>
      <c r="K7" s="31">
        <v>8288.2509765625</v>
      </c>
      <c r="L7" s="31">
        <v>7829.50048828125</v>
      </c>
      <c r="M7" s="31">
        <v>7240.0947265625</v>
      </c>
      <c r="N7" s="31">
        <v>8814.4541015625</v>
      </c>
      <c r="O7" s="29">
        <f t="shared" si="0"/>
        <v>-1.1956031281998401E-2</v>
      </c>
      <c r="P7" s="29">
        <f t="shared" si="1"/>
        <v>5.076023530693697E-2</v>
      </c>
    </row>
    <row r="8" spans="1:17" ht="18" customHeight="1">
      <c r="A8" s="185"/>
      <c r="B8" s="30" t="s">
        <v>194</v>
      </c>
      <c r="C8" s="33"/>
      <c r="D8" s="33">
        <f ca="1">23.900334*OFFSET(D$113,MATCH($N$1,$C$113:$C$114,0)-1,0)</f>
        <v>23.900334000000001</v>
      </c>
      <c r="E8" s="33">
        <f ca="1">21.583584*OFFSET(E$113,MATCH($N$1,$C$113:$C$114,0)-1,0)</f>
        <v>21.583583999999998</v>
      </c>
      <c r="F8" s="33">
        <f ca="1">23.0188*OFFSET(F$113,MATCH($N$1,$C$113:$C$114,0)-1,0)</f>
        <v>23.018799999999999</v>
      </c>
      <c r="G8" s="33">
        <f ca="1">20.071014*OFFSET(G$113,MATCH($N$1,$C$113:$C$114,0)-1,0)</f>
        <v>20.071014000000002</v>
      </c>
      <c r="H8" s="33">
        <f ca="1">21.11507*OFFSET(H$113,MATCH($N$1,$C$113:$C$114,0)-1,0)</f>
        <v>21.115069999999999</v>
      </c>
      <c r="I8" s="33">
        <f ca="1">16.007812*OFFSET(I$113,MATCH($N$1,$C$113:$C$114,0)-1,0)</f>
        <v>16.007812000000001</v>
      </c>
      <c r="J8" s="33">
        <f ca="1">16.473848*OFFSET(J$113,MATCH($N$1,$C$113:$C$114,0)-1,0)</f>
        <v>16.473848</v>
      </c>
      <c r="K8" s="33">
        <f ca="1">22.144984*OFFSET(K$113,MATCH($N$1,$C$113:$C$114,0)-1,0)</f>
        <v>22.144984000000001</v>
      </c>
      <c r="L8" s="33">
        <f ca="1">14.296272*OFFSET(L$113,MATCH($N$1,$C$113:$C$114,0)-1,0)</f>
        <v>14.296272</v>
      </c>
      <c r="M8" s="33">
        <f ca="1">15.939064*OFFSET(M$113,MATCH($N$1,$C$113:$C$114,0)-1,0)</f>
        <v>15.939064</v>
      </c>
      <c r="N8" s="33">
        <v>18.848915999999999</v>
      </c>
      <c r="O8" s="29">
        <f t="shared" ca="1" si="0"/>
        <v>-0.21135344803131209</v>
      </c>
      <c r="P8" s="29">
        <f t="shared" ca="1" si="1"/>
        <v>0.144172023439818</v>
      </c>
    </row>
    <row r="9" spans="1:17" ht="18" customHeight="1">
      <c r="A9" s="185"/>
      <c r="B9" s="30" t="s">
        <v>195</v>
      </c>
      <c r="C9" s="31"/>
      <c r="D9" s="31">
        <v>6395</v>
      </c>
      <c r="E9" s="31">
        <v>6179</v>
      </c>
      <c r="F9" s="31">
        <v>6089</v>
      </c>
      <c r="G9" s="31">
        <v>5498</v>
      </c>
      <c r="H9" s="31">
        <v>5250</v>
      </c>
      <c r="I9" s="31">
        <v>4803</v>
      </c>
      <c r="J9" s="31">
        <v>4447</v>
      </c>
      <c r="K9" s="31">
        <v>4514</v>
      </c>
      <c r="L9" s="31">
        <v>4169</v>
      </c>
      <c r="M9" s="31">
        <v>4091</v>
      </c>
      <c r="N9" s="31">
        <v>4793</v>
      </c>
      <c r="O9" s="29">
        <f t="shared" si="0"/>
        <v>-0.25050820953870212</v>
      </c>
      <c r="P9" s="29">
        <f t="shared" si="1"/>
        <v>7.7805261974364742E-2</v>
      </c>
    </row>
    <row r="10" spans="1:17" ht="18" customHeight="1">
      <c r="A10" s="185"/>
      <c r="B10" s="30" t="s">
        <v>196</v>
      </c>
      <c r="C10" s="31"/>
      <c r="D10" s="31">
        <v>3108.6</v>
      </c>
      <c r="E10" s="31">
        <v>3103.8</v>
      </c>
      <c r="F10" s="31">
        <v>3059.8</v>
      </c>
      <c r="G10" s="31">
        <v>2857.2000000000003</v>
      </c>
      <c r="H10" s="31">
        <v>2729.2000000000003</v>
      </c>
      <c r="I10" s="31">
        <v>2475.2000000000003</v>
      </c>
      <c r="J10" s="31">
        <v>2320.2000000000003</v>
      </c>
      <c r="K10" s="31">
        <v>2416.2000000000003</v>
      </c>
      <c r="L10" s="31">
        <v>2215.4</v>
      </c>
      <c r="M10" s="31">
        <v>2201.2000000000003</v>
      </c>
      <c r="N10" s="31">
        <v>2563</v>
      </c>
      <c r="O10" s="29">
        <f t="shared" si="0"/>
        <v>-0.17551309271054491</v>
      </c>
      <c r="P10" s="29">
        <f t="shared" si="1"/>
        <v>0.10464615119386247</v>
      </c>
    </row>
    <row r="11" spans="1:17" ht="18" customHeight="1">
      <c r="A11" s="185"/>
      <c r="B11" s="30" t="s">
        <v>197</v>
      </c>
      <c r="C11" s="31"/>
      <c r="D11" s="31">
        <v>295.72091674804688</v>
      </c>
      <c r="E11" s="31">
        <v>134.60765075683594</v>
      </c>
      <c r="F11" s="31">
        <v>368.07904052734375</v>
      </c>
      <c r="G11" s="31">
        <v>347.94216918945313</v>
      </c>
      <c r="H11" s="31">
        <v>335.64495849609375</v>
      </c>
      <c r="I11" s="31">
        <v>143.39471435546875</v>
      </c>
      <c r="J11" s="31">
        <v>220.303955078125</v>
      </c>
      <c r="K11" s="31">
        <v>177.20075988769531</v>
      </c>
      <c r="L11" s="31">
        <v>171.91378784179688</v>
      </c>
      <c r="M11" s="31">
        <v>148.17756652832031</v>
      </c>
      <c r="N11" s="31">
        <v>176.15324401855469</v>
      </c>
      <c r="O11" s="34">
        <f t="shared" si="0"/>
        <v>-0.40432605865131754</v>
      </c>
      <c r="P11" s="34">
        <f t="shared" si="1"/>
        <v>-0.20040816354800994</v>
      </c>
    </row>
    <row r="12" spans="1:17" ht="18" customHeight="1">
      <c r="A12" s="186" t="s">
        <v>198</v>
      </c>
      <c r="B12" s="35" t="s">
        <v>199</v>
      </c>
      <c r="C12" s="36"/>
      <c r="D12" s="36">
        <v>20.222999572753906</v>
      </c>
      <c r="E12" s="36">
        <v>20.446216583251953</v>
      </c>
      <c r="F12" s="36">
        <v>20.08305549621582</v>
      </c>
      <c r="G12" s="36">
        <v>21.139032363891602</v>
      </c>
      <c r="H12" s="36">
        <v>19.9913330078125</v>
      </c>
      <c r="I12" s="36">
        <v>19.017000198364258</v>
      </c>
      <c r="J12" s="36">
        <v>19.611537933349609</v>
      </c>
      <c r="K12" s="36">
        <v>19.843334197998047</v>
      </c>
      <c r="L12" s="36">
        <v>20.214614868164063</v>
      </c>
      <c r="M12" s="36">
        <v>20.349231719970703</v>
      </c>
      <c r="N12" s="36">
        <v>19.715517044067383</v>
      </c>
      <c r="O12" s="29">
        <f t="shared" si="0"/>
        <v>-2.5094325243928985E-2</v>
      </c>
      <c r="P12" s="29">
        <f t="shared" si="1"/>
        <v>5.3019355784920856E-3</v>
      </c>
    </row>
    <row r="13" spans="1:17" ht="18" customHeight="1">
      <c r="A13" s="187"/>
      <c r="B13" s="37" t="s">
        <v>190</v>
      </c>
      <c r="C13" s="31"/>
      <c r="D13" s="31">
        <v>305.27499389648438</v>
      </c>
      <c r="E13" s="31">
        <v>316.81082153320313</v>
      </c>
      <c r="F13" s="31">
        <v>315.4444580078125</v>
      </c>
      <c r="G13" s="31">
        <v>333.16128540039063</v>
      </c>
      <c r="H13" s="31">
        <v>309.43331909179688</v>
      </c>
      <c r="I13" s="31">
        <v>280.9666748046875</v>
      </c>
      <c r="J13" s="31">
        <v>302.61538696289063</v>
      </c>
      <c r="K13" s="31">
        <v>307.40740966796875</v>
      </c>
      <c r="L13" s="31">
        <v>324.84616088867188</v>
      </c>
      <c r="M13" s="31">
        <v>330.73077392578125</v>
      </c>
      <c r="N13" s="31">
        <v>315</v>
      </c>
      <c r="O13" s="29">
        <f t="shared" si="0"/>
        <v>3.1856543437728396E-2</v>
      </c>
      <c r="P13" s="29">
        <f t="shared" si="1"/>
        <v>4.0925258829049849E-2</v>
      </c>
    </row>
    <row r="14" spans="1:17" ht="18" customHeight="1">
      <c r="A14" s="187"/>
      <c r="B14" s="37" t="s">
        <v>191</v>
      </c>
      <c r="C14" s="31"/>
      <c r="D14" s="31">
        <v>122.15000152587891</v>
      </c>
      <c r="E14" s="31">
        <v>128.45945739746094</v>
      </c>
      <c r="F14" s="31">
        <v>122.94444274902344</v>
      </c>
      <c r="G14" s="31">
        <v>140.06451416015625</v>
      </c>
      <c r="H14" s="31">
        <v>129.69999694824219</v>
      </c>
      <c r="I14" s="31">
        <v>111.53333282470703</v>
      </c>
      <c r="J14" s="31">
        <v>122.73076629638672</v>
      </c>
      <c r="K14" s="31">
        <v>126.51851654052734</v>
      </c>
      <c r="L14" s="31">
        <v>136.30769348144531</v>
      </c>
      <c r="M14" s="31">
        <v>139.84616088867188</v>
      </c>
      <c r="N14" s="31">
        <v>131.72413635253906</v>
      </c>
      <c r="O14" s="29">
        <f t="shared" si="0"/>
        <v>7.8380144961617243E-2</v>
      </c>
      <c r="P14" s="29">
        <f t="shared" si="1"/>
        <v>7.3277225650444866E-2</v>
      </c>
    </row>
    <row r="15" spans="1:17" ht="18" customHeight="1">
      <c r="A15" s="187"/>
      <c r="B15" s="37" t="s">
        <v>192</v>
      </c>
      <c r="C15" s="31"/>
      <c r="D15" s="31">
        <v>264.67385864257813</v>
      </c>
      <c r="E15" s="31">
        <v>272.17306518554688</v>
      </c>
      <c r="F15" s="31">
        <v>269.13177490234375</v>
      </c>
      <c r="G15" s="31">
        <v>289.4609375</v>
      </c>
      <c r="H15" s="31">
        <v>269.1563720703125</v>
      </c>
      <c r="I15" s="31">
        <v>244.92820739746094</v>
      </c>
      <c r="J15" s="31">
        <v>260.84637451171875</v>
      </c>
      <c r="K15" s="31">
        <v>266.90939331054688</v>
      </c>
      <c r="L15" s="31">
        <v>279.47476196289063</v>
      </c>
      <c r="M15" s="31">
        <v>284.60479736328125</v>
      </c>
      <c r="N15" s="31">
        <v>271.63198852539063</v>
      </c>
      <c r="O15" s="29">
        <f t="shared" si="0"/>
        <v>2.6289448903259176E-2</v>
      </c>
      <c r="P15" s="29">
        <f t="shared" si="1"/>
        <v>4.1348529508457181E-2</v>
      </c>
    </row>
    <row r="16" spans="1:17" ht="18" customHeight="1">
      <c r="A16" s="187"/>
      <c r="B16" s="37" t="s">
        <v>193</v>
      </c>
      <c r="C16" s="33"/>
      <c r="D16" s="33">
        <v>223.02787780761719</v>
      </c>
      <c r="E16" s="33">
        <v>255.86026000976563</v>
      </c>
      <c r="F16" s="33">
        <v>247.30856323242188</v>
      </c>
      <c r="G16" s="33">
        <v>248.46043395996094</v>
      </c>
      <c r="H16" s="33">
        <v>267.43658447265625</v>
      </c>
      <c r="I16" s="33">
        <v>254.53671264648438</v>
      </c>
      <c r="J16" s="33">
        <v>322.64016723632813</v>
      </c>
      <c r="K16" s="33">
        <v>306.97225952148438</v>
      </c>
      <c r="L16" s="33">
        <v>301.1346435546875</v>
      </c>
      <c r="M16" s="33">
        <v>278.46517944335938</v>
      </c>
      <c r="N16" s="33">
        <v>303.94668579101563</v>
      </c>
      <c r="O16" s="29">
        <f t="shared" si="0"/>
        <v>0.36281925281645117</v>
      </c>
      <c r="P16" s="29">
        <f t="shared" si="1"/>
        <v>-5.7939101648245367E-2</v>
      </c>
    </row>
    <row r="17" spans="1:16" ht="18" customHeight="1">
      <c r="A17" s="187"/>
      <c r="B17" s="37" t="s">
        <v>200</v>
      </c>
      <c r="C17" s="33"/>
      <c r="D17" s="33">
        <f ca="1">597.508375*OFFSET(D$113,MATCH($N$1,$C$113:$C$114,0)-1,0)</f>
        <v>597.508375</v>
      </c>
      <c r="E17" s="33">
        <f ca="1">583.3400625*OFFSET(E$113,MATCH($N$1,$C$113:$C$114,0)-1,0)</f>
        <v>583.34006250000004</v>
      </c>
      <c r="F17" s="33">
        <f ca="1">639.411125*OFFSET(F$113,MATCH($N$1,$C$113:$C$114,0)-1,0)</f>
        <v>639.41112499999997</v>
      </c>
      <c r="G17" s="33">
        <f ca="1">647.4520625*OFFSET(G$113,MATCH($N$1,$C$113:$C$114,0)-1,0)</f>
        <v>647.45206250000001</v>
      </c>
      <c r="H17" s="33">
        <f ca="1">703.8356875*OFFSET(H$113,MATCH($N$1,$C$113:$C$114,0)-1,0)</f>
        <v>703.83568749999995</v>
      </c>
      <c r="I17" s="33">
        <f ca="1">533.59375*OFFSET(I$113,MATCH($N$1,$C$113:$C$114,0)-1,0)</f>
        <v>533.59375</v>
      </c>
      <c r="J17" s="33">
        <f ca="1">633.6095*OFFSET(J$113,MATCH($N$1,$C$113:$C$114,0)-1,0)</f>
        <v>633.60950000000003</v>
      </c>
      <c r="K17" s="33">
        <f ca="1">820.1845625*OFFSET(K$113,MATCH($N$1,$C$113:$C$114,0)-1,0)</f>
        <v>820.18456249999997</v>
      </c>
      <c r="L17" s="33">
        <f ca="1">549.856625*OFFSET(L$113,MATCH($N$1,$C$113:$C$114,0)-1,0)</f>
        <v>549.85662500000001</v>
      </c>
      <c r="M17" s="33">
        <f ca="1">613.0409375*OFFSET(M$113,MATCH($N$1,$C$113:$C$114,0)-1,0)</f>
        <v>613.04093750000004</v>
      </c>
      <c r="N17" s="33">
        <v>649.96256249999999</v>
      </c>
      <c r="O17" s="29">
        <f t="shared" ca="1" si="0"/>
        <v>8.7788204642319845E-2</v>
      </c>
      <c r="P17" s="29">
        <f t="shared" ca="1" si="1"/>
        <v>2.5809370755962409E-2</v>
      </c>
    </row>
    <row r="18" spans="1:16" ht="18" customHeight="1">
      <c r="A18" s="187"/>
      <c r="B18" s="37" t="s">
        <v>195</v>
      </c>
      <c r="C18" s="31"/>
      <c r="D18" s="31">
        <v>159.875</v>
      </c>
      <c r="E18" s="31">
        <v>167</v>
      </c>
      <c r="F18" s="31">
        <v>169.13888549804688</v>
      </c>
      <c r="G18" s="31">
        <v>177.35484313964844</v>
      </c>
      <c r="H18" s="31">
        <v>175</v>
      </c>
      <c r="I18" s="31">
        <v>160.10000610351563</v>
      </c>
      <c r="J18" s="31">
        <v>171.03846740722656</v>
      </c>
      <c r="K18" s="31">
        <v>167.1851806640625</v>
      </c>
      <c r="L18" s="31">
        <v>160.34616088867188</v>
      </c>
      <c r="M18" s="31">
        <v>157.34616088867188</v>
      </c>
      <c r="N18" s="31">
        <v>165.27586364746094</v>
      </c>
      <c r="O18" s="29">
        <f t="shared" si="0"/>
        <v>3.3781789819927681E-2</v>
      </c>
      <c r="P18" s="29">
        <f t="shared" si="1"/>
        <v>-3.369185801954952E-2</v>
      </c>
    </row>
    <row r="19" spans="1:16" ht="18" customHeight="1">
      <c r="A19" s="187"/>
      <c r="B19" s="37" t="s">
        <v>201</v>
      </c>
      <c r="C19" s="31"/>
      <c r="D19" s="31">
        <v>30.049999237060547</v>
      </c>
      <c r="E19" s="31">
        <v>30.837837219238281</v>
      </c>
      <c r="F19" s="31">
        <v>30.166666030883789</v>
      </c>
      <c r="G19" s="31">
        <v>31.677419662475586</v>
      </c>
      <c r="H19" s="31">
        <v>32.566665649414063</v>
      </c>
      <c r="I19" s="31">
        <v>34.299999237060547</v>
      </c>
      <c r="J19" s="31">
        <v>34.769229888916016</v>
      </c>
      <c r="K19" s="31">
        <v>34.814815521240234</v>
      </c>
      <c r="L19" s="31">
        <v>35.192306518554688</v>
      </c>
      <c r="M19" s="31">
        <v>35.576923370361328</v>
      </c>
      <c r="N19" s="31">
        <v>36.275863647460938</v>
      </c>
      <c r="O19" s="29">
        <f t="shared" si="0"/>
        <v>0.20718351309380589</v>
      </c>
      <c r="P19" s="29">
        <f t="shared" si="1"/>
        <v>4.3332387957928785E-2</v>
      </c>
    </row>
    <row r="20" spans="1:16" ht="18" customHeight="1">
      <c r="A20" s="187"/>
      <c r="B20" s="37" t="s">
        <v>202</v>
      </c>
      <c r="C20" s="38"/>
      <c r="D20" s="38">
        <v>1.3950140476226807</v>
      </c>
      <c r="E20" s="38">
        <v>1.532097339630127</v>
      </c>
      <c r="F20" s="38">
        <v>1.4621626138687134</v>
      </c>
      <c r="G20" s="38">
        <v>1.4009227752685547</v>
      </c>
      <c r="H20" s="38">
        <v>1.5282090902328491</v>
      </c>
      <c r="I20" s="38">
        <v>1.5898606777191162</v>
      </c>
      <c r="J20" s="38">
        <v>1.8863602876663208</v>
      </c>
      <c r="K20" s="38">
        <v>1.8361212015151978</v>
      </c>
      <c r="L20" s="38">
        <v>1.878028392791748</v>
      </c>
      <c r="M20" s="38">
        <v>1.7697615623474121</v>
      </c>
      <c r="N20" s="38">
        <v>1.8390264511108398</v>
      </c>
      <c r="O20" s="29">
        <f t="shared" si="0"/>
        <v>0.31828525615553827</v>
      </c>
      <c r="P20" s="29">
        <f t="shared" si="1"/>
        <v>-2.5092680791133078E-2</v>
      </c>
    </row>
    <row r="21" spans="1:16" ht="18" customHeight="1">
      <c r="A21" s="188"/>
      <c r="B21" s="39" t="s">
        <v>203</v>
      </c>
      <c r="C21" s="40"/>
      <c r="D21" s="40">
        <f ca="1">2679*OFFSET(D$113,MATCH($N$1,$C$113:$C$114,0)-1,0)</f>
        <v>2679</v>
      </c>
      <c r="E21" s="40">
        <f ca="1">2280*OFFSET(E$113,MATCH($N$1,$C$113:$C$114,0)-1,0)</f>
        <v>2280</v>
      </c>
      <c r="F21" s="40">
        <f ca="1">2585*OFFSET(F$113,MATCH($N$1,$C$113:$C$114,0)-1,0)</f>
        <v>2585</v>
      </c>
      <c r="G21" s="40">
        <f ca="1">2606*OFFSET(G$113,MATCH($N$1,$C$113:$C$114,0)-1,0)</f>
        <v>2606</v>
      </c>
      <c r="H21" s="40">
        <f ca="1">2632*OFFSET(H$113,MATCH($N$1,$C$113:$C$114,0)-1,0)</f>
        <v>2632</v>
      </c>
      <c r="I21" s="40">
        <f ca="1">2096*OFFSET(I$113,MATCH($N$1,$C$113:$C$114,0)-1,0)</f>
        <v>2096</v>
      </c>
      <c r="J21" s="40">
        <f ca="1">1964*OFFSET(J$113,MATCH($N$1,$C$113:$C$114,0)-1,0)</f>
        <v>1964</v>
      </c>
      <c r="K21" s="40">
        <f ca="1">2672*OFFSET(K$113,MATCH($N$1,$C$113:$C$114,0)-1,0)</f>
        <v>2672</v>
      </c>
      <c r="L21" s="40">
        <f ca="1">1826*OFFSET(L$113,MATCH($N$1,$C$113:$C$114,0)-1,0)</f>
        <v>1826</v>
      </c>
      <c r="M21" s="40">
        <f ca="1">2201*OFFSET(M$113,MATCH($N$1,$C$113:$C$114,0)-1,0)</f>
        <v>2201</v>
      </c>
      <c r="N21" s="40">
        <v>2138</v>
      </c>
      <c r="O21" s="34">
        <f t="shared" ca="1" si="0"/>
        <v>-0.20194102276969017</v>
      </c>
      <c r="P21" s="34">
        <f t="shared" ca="1" si="1"/>
        <v>8.8594704684317724E-2</v>
      </c>
    </row>
    <row r="22" spans="1:16" ht="18" customHeight="1">
      <c r="A22" s="189" t="s">
        <v>204</v>
      </c>
      <c r="B22" s="35" t="s">
        <v>205</v>
      </c>
      <c r="C22" s="41"/>
      <c r="D22" s="41">
        <v>3.7437948670724865</v>
      </c>
      <c r="E22" s="41">
        <v>3.8668642969403821</v>
      </c>
      <c r="F22" s="41">
        <v>3.8573823137558154</v>
      </c>
      <c r="G22" s="41">
        <v>3.5905692295931111</v>
      </c>
      <c r="H22" s="41">
        <v>4.0660049621417915</v>
      </c>
      <c r="I22" s="41">
        <v>4.4926117866546091</v>
      </c>
      <c r="J22" s="41">
        <v>5.1236090623234993</v>
      </c>
      <c r="K22" s="41">
        <v>5.0820043550347087</v>
      </c>
      <c r="L22" s="41">
        <v>4.6703386620145713</v>
      </c>
      <c r="M22" s="41">
        <v>4.6857723014313786</v>
      </c>
      <c r="N22" s="41">
        <v>4.6981278737864303</v>
      </c>
      <c r="O22" s="29">
        <f t="shared" si="0"/>
        <v>0.254910602903892</v>
      </c>
      <c r="P22" s="29">
        <f t="shared" si="1"/>
        <v>-8.3043257860137776E-2</v>
      </c>
    </row>
    <row r="23" spans="1:16" ht="18" customHeight="1">
      <c r="A23" s="189"/>
      <c r="B23" s="37" t="s">
        <v>206</v>
      </c>
      <c r="C23" s="38"/>
      <c r="D23" s="38">
        <f ca="1">10.0299066168195*OFFSET(D$113,MATCH($N$1,$C$113:$C$114,0)-1,0)</f>
        <v>10.029906616819501</v>
      </c>
      <c r="E23" s="38">
        <f ca="1">8.81612822784643*OFFSET(E$113,MATCH($N$1,$C$113:$C$114,0)-1,0)</f>
        <v>8.8161282278464306</v>
      </c>
      <c r="F23" s="38">
        <f ca="1">9.97318140769644*OFFSET(F$113,MATCH($N$1,$C$113:$C$114,0)-1,0)</f>
        <v>9.9731814076964405</v>
      </c>
      <c r="G23" s="38">
        <f ca="1">9.3565056463828*OFFSET(G$113,MATCH($N$1,$C$113:$C$114,0)-1,0)</f>
        <v>9.3565056463828</v>
      </c>
      <c r="H23" s="38">
        <f ca="1">10.7008523293494*OFFSET(H$113,MATCH($N$1,$C$113:$C$114,0)-1,0)</f>
        <v>10.7008523293494</v>
      </c>
      <c r="I23" s="38">
        <f ca="1">9.4180110429282*OFFSET(I$113,MATCH($N$1,$C$113:$C$114,0)-1,0)</f>
        <v>9.4180110429281996</v>
      </c>
      <c r="J23" s="38">
        <f ca="1">10.0618822633958*OFFSET(J$113,MATCH($N$1,$C$113:$C$114,0)-1,0)</f>
        <v>10.0618822633958</v>
      </c>
      <c r="K23" s="38">
        <f ca="1">13.5783654361951*OFFSET(K$113,MATCH($N$1,$C$113:$C$114,0)-1,0)</f>
        <v>13.578365436195099</v>
      </c>
      <c r="L23" s="38">
        <f ca="1">8.52780212860492*OFFSET(L$113,MATCH($N$1,$C$113:$C$114,0)-1,0)</f>
        <v>8.5278021286049199</v>
      </c>
      <c r="M23" s="38">
        <f ca="1">10.3157251126449*OFFSET(M$113,MATCH($N$1,$C$113:$C$114,0)-1,0)</f>
        <v>10.3157251126449</v>
      </c>
      <c r="N23" s="38">
        <v>10.046522546715549</v>
      </c>
      <c r="O23" s="29">
        <f t="shared" ca="1" si="0"/>
        <v>1.6566385441898486E-3</v>
      </c>
      <c r="P23" s="29">
        <f t="shared" ca="1" si="1"/>
        <v>-1.5265251846693238E-3</v>
      </c>
    </row>
    <row r="24" spans="1:16" ht="18" customHeight="1">
      <c r="A24" s="189"/>
      <c r="B24" s="37" t="s">
        <v>153</v>
      </c>
      <c r="C24" s="38"/>
      <c r="D24" s="38">
        <f ca="1">7.6585410218152*OFFSET(D$113,MATCH($N$1,$C$113:$C$114,0)-1,0)</f>
        <v>7.6585410218151999</v>
      </c>
      <c r="E24" s="38">
        <f ca="1">7.8167527095113*OFFSET(E$113,MATCH($N$1,$C$113:$C$114,0)-1,0)</f>
        <v>7.8167527095112996</v>
      </c>
      <c r="F24" s="38">
        <f ca="1">7.71807071517099*OFFSET(F$113,MATCH($N$1,$C$113:$C$114,0)-1,0)</f>
        <v>7.71807071517099</v>
      </c>
      <c r="G24" s="38">
        <f ca="1">7.01549949691511*OFFSET(G$113,MATCH($N$1,$C$113:$C$114,0)-1,0)</f>
        <v>7.0154994969151101</v>
      </c>
      <c r="H24" s="38">
        <f ca="1">8.50779448528099*OFFSET(H$113,MATCH($N$1,$C$113:$C$114,0)-1,0)</f>
        <v>8.5077944852809892</v>
      </c>
      <c r="I24" s="38">
        <f ca="1">8.24114297595636*OFFSET(I$113,MATCH($N$1,$C$113:$C$114,0)-1,0)</f>
        <v>8.2411429759563593</v>
      </c>
      <c r="J24" s="38">
        <f ca="1">8.50999909319925*OFFSET(J$113,MATCH($N$1,$C$113:$C$114,0)-1,0)</f>
        <v>8.5099990931992497</v>
      </c>
      <c r="K24" s="38">
        <f ca="1">11.8680372254956*OFFSET(K$113,MATCH($N$1,$C$113:$C$114,0)-1,0)</f>
        <v>11.8680372254956</v>
      </c>
      <c r="L24" s="38">
        <f ca="1">7.85371667701215*OFFSET(L$113,MATCH($N$1,$C$113:$C$114,0)-1,0)</f>
        <v>7.8537166770121498</v>
      </c>
      <c r="M24" s="38">
        <f ca="1">9.1418078798863*OFFSET(M$113,MATCH($N$1,$C$113:$C$114,0)-1,0)</f>
        <v>9.1418078798863007</v>
      </c>
      <c r="N24" s="38">
        <v>9.141483457514255</v>
      </c>
      <c r="O24" s="29">
        <f t="shared" ca="1" si="0"/>
        <v>0.19363249886302408</v>
      </c>
      <c r="P24" s="29">
        <f t="shared" ca="1" si="1"/>
        <v>7.4204986087443275E-2</v>
      </c>
    </row>
    <row r="25" spans="1:16" ht="18" customHeight="1">
      <c r="A25" s="189"/>
      <c r="B25" s="37" t="s">
        <v>154</v>
      </c>
      <c r="C25" s="38"/>
      <c r="D25" s="38">
        <f ca="1">2.37136559500426*OFFSET(D$113,MATCH($N$1,$C$113:$C$114,0)-1,0)</f>
        <v>2.37136559500426</v>
      </c>
      <c r="E25" s="38">
        <f ca="1">0.999375518335131*OFFSET(E$113,MATCH($N$1,$C$113:$C$114,0)-1,0)</f>
        <v>0.99937551833513105</v>
      </c>
      <c r="F25" s="38">
        <f ca="1">2.66585503074342*OFFSET(F$113,MATCH($N$1,$C$113:$C$114,0)-1,0)</f>
        <v>2.6658550307434199</v>
      </c>
      <c r="G25" s="38">
        <f ca="1">3.1981829332288*OFFSET(G$113,MATCH($N$1,$C$113:$C$114,0)-1,0)</f>
        <v>3.1981829332288001</v>
      </c>
      <c r="H25" s="38">
        <f ca="1">2.19332570459883*OFFSET(H$113,MATCH($N$1,$C$113:$C$114,0)-1,0)</f>
        <v>2.1933257045988301</v>
      </c>
      <c r="I25" s="38">
        <f ca="1">1.23321863492066*OFFSET(I$113,MATCH($N$1,$C$113:$C$114,0)-1,0)</f>
        <v>1.23321863492066</v>
      </c>
      <c r="J25" s="38">
        <f ca="1">1.551937406971*OFFSET(J$113,MATCH($N$1,$C$113:$C$114,0)-1,0)</f>
        <v>1.5519374069709999</v>
      </c>
      <c r="K25" s="38">
        <f ca="1">1.73510723764106*OFFSET(K$113,MATCH($N$1,$C$113:$C$114,0)-1,0)</f>
        <v>1.7351072376410599</v>
      </c>
      <c r="L25" s="38">
        <f ca="1">0.802851415554138*OFFSET(L$113,MATCH($N$1,$C$113:$C$114,0)-1,0)</f>
        <v>0.80285141555413797</v>
      </c>
      <c r="M25" s="38">
        <f ca="1">1.28784155723603*OFFSET(M$113,MATCH($N$1,$C$113:$C$114,0)-1,0)</f>
        <v>1.28784155723603</v>
      </c>
      <c r="N25" s="38">
        <v>1.0159904083995699</v>
      </c>
      <c r="O25" s="29">
        <f t="shared" ca="1" si="0"/>
        <v>-0.57155893189141727</v>
      </c>
      <c r="P25" s="29">
        <f t="shared" ca="1" si="1"/>
        <v>-0.34534060211710904</v>
      </c>
    </row>
    <row r="26" spans="1:16" ht="18" customHeight="1">
      <c r="A26" s="189"/>
      <c r="B26" s="37" t="s">
        <v>207</v>
      </c>
      <c r="C26" s="33"/>
      <c r="D26" s="33">
        <f ca="1">80.82*OFFSET(D$113,MATCH($N$1,$C$113:$C$114,0)-1,0)</f>
        <v>80.819999999999993</v>
      </c>
      <c r="E26" s="33">
        <f ca="1">160.33*OFFSET(E$113,MATCH($N$1,$C$113:$C$114,0)-1,0)</f>
        <v>160.33000000000001</v>
      </c>
      <c r="F26" s="33">
        <f ca="1">62.54*OFFSET(F$113,MATCH($N$1,$C$113:$C$114,0)-1,0)</f>
        <v>62.54</v>
      </c>
      <c r="G26" s="33">
        <f ca="1">57.69*OFFSET(G$113,MATCH($N$1,$C$113:$C$114,0)-1,0)</f>
        <v>57.69</v>
      </c>
      <c r="H26" s="33">
        <f ca="1">62.91*OFFSET(H$113,MATCH($N$1,$C$113:$C$114,0)-1,0)</f>
        <v>62.91</v>
      </c>
      <c r="I26" s="33">
        <f ca="1">111.64*OFFSET(I$113,MATCH($N$1,$C$113:$C$114,0)-1,0)</f>
        <v>111.64</v>
      </c>
      <c r="J26" s="33">
        <f ca="1">74.78*OFFSET(J$113,MATCH($N$1,$C$113:$C$114,0)-1,0)</f>
        <v>74.78</v>
      </c>
      <c r="K26" s="33">
        <f ca="1">124.97*OFFSET(K$113,MATCH($N$1,$C$113:$C$114,0)-1,0)</f>
        <v>124.97</v>
      </c>
      <c r="L26" s="33">
        <f ca="1">83.17*OFFSET(L$113,MATCH($N$1,$C$113:$C$114,0)-1,0)</f>
        <v>83.17</v>
      </c>
      <c r="M26" s="33">
        <f ca="1">107.56*OFFSET(M$113,MATCH($N$1,$C$113:$C$114,0)-1,0)</f>
        <v>107.56</v>
      </c>
      <c r="N26" s="33">
        <v>107.01</v>
      </c>
      <c r="O26" s="29">
        <f t="shared" ca="1" si="0"/>
        <v>0.3240534521158131</v>
      </c>
      <c r="P26" s="29">
        <f t="shared" ca="1" si="1"/>
        <v>0.43099759293928863</v>
      </c>
    </row>
    <row r="27" spans="1:16" ht="18" customHeight="1">
      <c r="A27" s="190"/>
      <c r="B27" s="37" t="s">
        <v>208</v>
      </c>
      <c r="C27" s="33"/>
      <c r="D27" s="33">
        <f ca="1">19.11*OFFSET(D$113,MATCH($N$1,$C$113:$C$114,0)-1,0)</f>
        <v>19.11</v>
      </c>
      <c r="E27" s="33">
        <f ca="1">18.17*OFFSET(E$113,MATCH($N$1,$C$113:$C$114,0)-1,0)</f>
        <v>18.170000000000002</v>
      </c>
      <c r="F27" s="33">
        <f ca="1">16.71*OFFSET(F$113,MATCH($N$1,$C$113:$C$114,0)-1,0)</f>
        <v>16.71</v>
      </c>
      <c r="G27" s="33">
        <f ca="1">19.72*OFFSET(G$113,MATCH($N$1,$C$113:$C$114,0)-1,0)</f>
        <v>19.72</v>
      </c>
      <c r="H27" s="33">
        <f ca="1">12.9*OFFSET(H$113,MATCH($N$1,$C$113:$C$114,0)-1,0)</f>
        <v>12.9</v>
      </c>
      <c r="I27" s="33">
        <f ca="1">14.62*OFFSET(I$113,MATCH($N$1,$C$113:$C$114,0)-1,0)</f>
        <v>14.62</v>
      </c>
      <c r="J27" s="33">
        <f ca="1">11.53*OFFSET(J$113,MATCH($N$1,$C$113:$C$114,0)-1,0)</f>
        <v>11.53</v>
      </c>
      <c r="K27" s="33">
        <f ca="1">15.97*OFFSET(K$113,MATCH($N$1,$C$113:$C$114,0)-1,0)</f>
        <v>15.97</v>
      </c>
      <c r="L27" s="33">
        <f ca="1">7.83*OFFSET(L$113,MATCH($N$1,$C$113:$C$114,0)-1,0)</f>
        <v>7.83</v>
      </c>
      <c r="M27" s="33">
        <f ca="1">13.42*OFFSET(M$113,MATCH($N$1,$C$113:$C$114,0)-1,0)</f>
        <v>13.42</v>
      </c>
      <c r="N27" s="33">
        <v>10.82</v>
      </c>
      <c r="O27" s="34">
        <f t="shared" ca="1" si="0"/>
        <v>-0.43380429094714806</v>
      </c>
      <c r="P27" s="34">
        <f t="shared" ca="1" si="1"/>
        <v>-6.1578490893321694E-2</v>
      </c>
    </row>
    <row r="28" spans="1:16" s="78" customFormat="1" ht="18" customHeight="1">
      <c r="A28" s="191" t="s">
        <v>209</v>
      </c>
      <c r="B28" s="82" t="s">
        <v>200</v>
      </c>
      <c r="C28" s="83"/>
      <c r="D28" s="83">
        <f ca="1">597.5*OFFSET(D$113,MATCH($N$1,$C$113:$C$114,0)-1,0)</f>
        <v>597.5</v>
      </c>
      <c r="E28" s="83">
        <f ca="1">583.3*OFFSET(E$113,MATCH($N$1,$C$113:$C$114,0)-1,0)</f>
        <v>583.29999999999995</v>
      </c>
      <c r="F28" s="83">
        <f ca="1">639.4*OFFSET(F$113,MATCH($N$1,$C$113:$C$114,0)-1,0)</f>
        <v>639.4</v>
      </c>
      <c r="G28" s="83">
        <f ca="1">647.5*OFFSET(G$113,MATCH($N$1,$C$113:$C$114,0)-1,0)</f>
        <v>647.5</v>
      </c>
      <c r="H28" s="83">
        <f ca="1">703.8*OFFSET(H$113,MATCH($N$1,$C$113:$C$114,0)-1,0)</f>
        <v>703.8</v>
      </c>
      <c r="I28" s="83">
        <f ca="1">533.6*OFFSET(I$113,MATCH($N$1,$C$113:$C$114,0)-1,0)</f>
        <v>533.6</v>
      </c>
      <c r="J28" s="83">
        <f ca="1">633.6*OFFSET(J$113,MATCH($N$1,$C$113:$C$114,0)-1,0)</f>
        <v>633.6</v>
      </c>
      <c r="K28" s="83">
        <f ca="1">820.2*OFFSET(K$113,MATCH($N$1,$C$113:$C$114,0)-1,0)</f>
        <v>820.2</v>
      </c>
      <c r="L28" s="83">
        <f ca="1">549.9*OFFSET(L$113,MATCH($N$1,$C$113:$C$114,0)-1,0)</f>
        <v>549.9</v>
      </c>
      <c r="M28" s="83">
        <f ca="1">613*OFFSET(M$113,MATCH($N$1,$C$113:$C$114,0)-1,0)</f>
        <v>613</v>
      </c>
      <c r="N28" s="83">
        <v>650</v>
      </c>
      <c r="O28" s="84">
        <f t="shared" ca="1" si="0"/>
        <v>8.7866108786610872E-2</v>
      </c>
      <c r="P28" s="84">
        <f t="shared" ca="1" si="1"/>
        <v>2.5883838383838346E-2</v>
      </c>
    </row>
    <row r="29" spans="1:16" s="78" customFormat="1" ht="18" customHeight="1">
      <c r="A29" s="192"/>
      <c r="B29" s="85" t="s">
        <v>210</v>
      </c>
      <c r="C29" s="86"/>
      <c r="D29" s="86"/>
      <c r="E29" s="86"/>
      <c r="F29" s="86">
        <f ca="1">26.3*OFFSET(F$113,MATCH($N$1,$C$113:$C$114,0)-1,0)</f>
        <v>26.3</v>
      </c>
      <c r="G29" s="86">
        <f ca="1">59.3*OFFSET(G$113,MATCH($N$1,$C$113:$C$114,0)-1,0)</f>
        <v>59.3</v>
      </c>
      <c r="H29" s="86"/>
      <c r="I29" s="86">
        <f ca="1">3.2*OFFSET(I$113,MATCH($N$1,$C$113:$C$114,0)-1,0)</f>
        <v>3.2</v>
      </c>
      <c r="J29" s="86"/>
      <c r="K29" s="86">
        <f ca="1">1.5*OFFSET(K$113,MATCH($N$1,$C$113:$C$114,0)-1,0)</f>
        <v>1.5</v>
      </c>
      <c r="L29" s="86">
        <f ca="1">8.3*OFFSET(L$113,MATCH($N$1,$C$113:$C$114,0)-1,0)</f>
        <v>8.3000000000000007</v>
      </c>
      <c r="M29" s="86">
        <f ca="1">6.8*OFFSET(M$113,MATCH($N$1,$C$113:$C$114,0)-1,0)</f>
        <v>6.8</v>
      </c>
      <c r="N29" s="86">
        <v>7.2</v>
      </c>
      <c r="O29" s="84" t="str">
        <f t="shared" si="0"/>
        <v/>
      </c>
      <c r="P29" s="84" t="str">
        <f t="shared" si="1"/>
        <v/>
      </c>
    </row>
    <row r="30" spans="1:16" s="78" customFormat="1" ht="18" customHeight="1">
      <c r="A30" s="192"/>
      <c r="B30" s="87" t="s">
        <v>211</v>
      </c>
      <c r="C30" s="88"/>
      <c r="D30" s="88">
        <f ca="1">597.5*OFFSET(D$113,MATCH($N$1,$C$113:$C$114,0)-1,0)</f>
        <v>597.5</v>
      </c>
      <c r="E30" s="88">
        <f ca="1">583.3*OFFSET(E$113,MATCH($N$1,$C$113:$C$114,0)-1,0)</f>
        <v>583.29999999999995</v>
      </c>
      <c r="F30" s="88">
        <f ca="1">665.7*OFFSET(F$113,MATCH($N$1,$C$113:$C$114,0)-1,0)</f>
        <v>665.7</v>
      </c>
      <c r="G30" s="88">
        <f ca="1">706.8*OFFSET(G$113,MATCH($N$1,$C$113:$C$114,0)-1,0)</f>
        <v>706.8</v>
      </c>
      <c r="H30" s="88">
        <f ca="1">703.9*OFFSET(H$113,MATCH($N$1,$C$113:$C$114,0)-1,0)</f>
        <v>703.9</v>
      </c>
      <c r="I30" s="88">
        <f ca="1">536.8*OFFSET(I$113,MATCH($N$1,$C$113:$C$114,0)-1,0)</f>
        <v>536.79999999999995</v>
      </c>
      <c r="J30" s="88">
        <f ca="1">633.6*OFFSET(J$113,MATCH($N$1,$C$113:$C$114,0)-1,0)</f>
        <v>633.6</v>
      </c>
      <c r="K30" s="88">
        <f ca="1">821.7*OFFSET(K$113,MATCH($N$1,$C$113:$C$114,0)-1,0)</f>
        <v>821.7</v>
      </c>
      <c r="L30" s="88">
        <f ca="1">558.2*OFFSET(L$113,MATCH($N$1,$C$113:$C$114,0)-1,0)</f>
        <v>558.20000000000005</v>
      </c>
      <c r="M30" s="88">
        <f ca="1">619.8*OFFSET(M$113,MATCH($N$1,$C$113:$C$114,0)-1,0)</f>
        <v>619.79999999999995</v>
      </c>
      <c r="N30" s="88">
        <v>657.1</v>
      </c>
      <c r="O30" s="84">
        <f t="shared" ca="1" si="0"/>
        <v>9.974895397489543E-2</v>
      </c>
      <c r="P30" s="84">
        <f t="shared" ca="1" si="1"/>
        <v>3.7089646464646464E-2</v>
      </c>
    </row>
    <row r="31" spans="1:16" s="78" customFormat="1" ht="18" customHeight="1">
      <c r="A31" s="192"/>
      <c r="B31" s="85" t="s">
        <v>212</v>
      </c>
      <c r="C31" s="86"/>
      <c r="D31" s="86">
        <f ca="1">55.1*OFFSET(D$113,MATCH($N$1,$C$113:$C$114,0)-1,0)</f>
        <v>55.1</v>
      </c>
      <c r="E31" s="86">
        <f ca="1">56.7*OFFSET(E$113,MATCH($N$1,$C$113:$C$114,0)-1,0)</f>
        <v>56.7</v>
      </c>
      <c r="F31" s="86">
        <f ca="1">52*OFFSET(F$113,MATCH($N$1,$C$113:$C$114,0)-1,0)</f>
        <v>52</v>
      </c>
      <c r="G31" s="86">
        <f ca="1">39.4*OFFSET(G$113,MATCH($N$1,$C$113:$C$114,0)-1,0)</f>
        <v>39.4</v>
      </c>
      <c r="H31" s="86">
        <f ca="1">35.6*OFFSET(H$113,MATCH($N$1,$C$113:$C$114,0)-1,0)</f>
        <v>35.6</v>
      </c>
      <c r="I31" s="86">
        <f ca="1">39.7*OFFSET(I$113,MATCH($N$1,$C$113:$C$114,0)-1,0)</f>
        <v>39.700000000000003</v>
      </c>
      <c r="J31" s="86">
        <f ca="1">51*OFFSET(J$113,MATCH($N$1,$C$113:$C$114,0)-1,0)</f>
        <v>51</v>
      </c>
      <c r="K31" s="86">
        <f ca="1">49.1*OFFSET(K$113,MATCH($N$1,$C$113:$C$114,0)-1,0)</f>
        <v>49.1</v>
      </c>
      <c r="L31" s="86">
        <f ca="1">33.1*OFFSET(L$113,MATCH($N$1,$C$113:$C$114,0)-1,0)</f>
        <v>33.1</v>
      </c>
      <c r="M31" s="86">
        <f ca="1">40.4*OFFSET(M$113,MATCH($N$1,$C$113:$C$114,0)-1,0)</f>
        <v>40.4</v>
      </c>
      <c r="N31" s="86">
        <v>73.2</v>
      </c>
      <c r="O31" s="84">
        <f t="shared" ca="1" si="0"/>
        <v>0.32849364791288566</v>
      </c>
      <c r="P31" s="84">
        <f t="shared" ca="1" si="1"/>
        <v>0.43529411764705889</v>
      </c>
    </row>
    <row r="32" spans="1:16" s="78" customFormat="1" ht="18" customHeight="1">
      <c r="A32" s="192"/>
      <c r="B32" s="85" t="s">
        <v>213</v>
      </c>
      <c r="C32" s="86"/>
      <c r="D32" s="86">
        <f ca="1">157.3*OFFSET(D$113,MATCH($N$1,$C$113:$C$114,0)-1,0)</f>
        <v>157.30000000000001</v>
      </c>
      <c r="E32" s="86">
        <f ca="1">191.2*OFFSET(E$113,MATCH($N$1,$C$113:$C$114,0)-1,0)</f>
        <v>191.2</v>
      </c>
      <c r="F32" s="86">
        <f ca="1">179.3*OFFSET(F$113,MATCH($N$1,$C$113:$C$114,0)-1,0)</f>
        <v>179.3</v>
      </c>
      <c r="G32" s="86">
        <f ca="1">197.5*OFFSET(G$113,MATCH($N$1,$C$113:$C$114,0)-1,0)</f>
        <v>197.5</v>
      </c>
      <c r="H32" s="86">
        <f ca="1">225.8*OFFSET(H$113,MATCH($N$1,$C$113:$C$114,0)-1,0)</f>
        <v>225.8</v>
      </c>
      <c r="I32" s="86">
        <f ca="1">116.6*OFFSET(I$113,MATCH($N$1,$C$113:$C$114,0)-1,0)</f>
        <v>116.6</v>
      </c>
      <c r="J32" s="86">
        <f ca="1">202.5*OFFSET(J$113,MATCH($N$1,$C$113:$C$114,0)-1,0)</f>
        <v>202.5</v>
      </c>
      <c r="K32" s="86">
        <f ca="1">291.7*OFFSET(K$113,MATCH($N$1,$C$113:$C$114,0)-1,0)</f>
        <v>291.7</v>
      </c>
      <c r="L32" s="86">
        <f ca="1">206*OFFSET(L$113,MATCH($N$1,$C$113:$C$114,0)-1,0)</f>
        <v>206</v>
      </c>
      <c r="M32" s="86">
        <f ca="1">226.4*OFFSET(M$113,MATCH($N$1,$C$113:$C$114,0)-1,0)</f>
        <v>226.4</v>
      </c>
      <c r="N32" s="86">
        <v>225.1</v>
      </c>
      <c r="O32" s="84">
        <f t="shared" ca="1" si="0"/>
        <v>0.43102352193261273</v>
      </c>
      <c r="P32" s="84">
        <f t="shared" ca="1" si="1"/>
        <v>0.11160493827160491</v>
      </c>
    </row>
    <row r="33" spans="1:16" s="78" customFormat="1" ht="18" customHeight="1">
      <c r="A33" s="192"/>
      <c r="B33" s="85" t="s">
        <v>214</v>
      </c>
      <c r="C33" s="86"/>
      <c r="D33" s="86">
        <f ca="1">64.4*OFFSET(D$113,MATCH($N$1,$C$113:$C$114,0)-1,0)</f>
        <v>64.400000000000006</v>
      </c>
      <c r="E33" s="86">
        <f ca="1">89.1*OFFSET(E$113,MATCH($N$1,$C$113:$C$114,0)-1,0)</f>
        <v>89.1</v>
      </c>
      <c r="F33" s="86">
        <f ca="1">90.4*OFFSET(F$113,MATCH($N$1,$C$113:$C$114,0)-1,0)</f>
        <v>90.4</v>
      </c>
      <c r="G33" s="86">
        <f ca="1">91.2*OFFSET(G$113,MATCH($N$1,$C$113:$C$114,0)-1,0)</f>
        <v>91.2</v>
      </c>
      <c r="H33" s="86">
        <f ca="1">143*OFFSET(H$113,MATCH($N$1,$C$113:$C$114,0)-1,0)</f>
        <v>143</v>
      </c>
      <c r="I33" s="86">
        <f ca="1">134.3*OFFSET(I$113,MATCH($N$1,$C$113:$C$114,0)-1,0)</f>
        <v>134.30000000000001</v>
      </c>
      <c r="J33" s="86">
        <f ca="1">136.4*OFFSET(J$113,MATCH($N$1,$C$113:$C$114,0)-1,0)</f>
        <v>136.4</v>
      </c>
      <c r="K33" s="86">
        <f ca="1">165.2*OFFSET(K$113,MATCH($N$1,$C$113:$C$114,0)-1,0)</f>
        <v>165.2</v>
      </c>
      <c r="L33" s="86">
        <f ca="1">101.2*OFFSET(L$113,MATCH($N$1,$C$113:$C$114,0)-1,0)</f>
        <v>101.2</v>
      </c>
      <c r="M33" s="86">
        <f ca="1">112.4*OFFSET(M$113,MATCH($N$1,$C$113:$C$114,0)-1,0)</f>
        <v>112.4</v>
      </c>
      <c r="N33" s="86">
        <v>119.2</v>
      </c>
      <c r="O33" s="84">
        <f t="shared" ca="1" si="0"/>
        <v>0.85093167701863337</v>
      </c>
      <c r="P33" s="84">
        <f t="shared" ca="1" si="1"/>
        <v>-0.12609970674486806</v>
      </c>
    </row>
    <row r="34" spans="1:16" s="78" customFormat="1" ht="18" customHeight="1">
      <c r="A34" s="192"/>
      <c r="B34" s="85" t="s">
        <v>215</v>
      </c>
      <c r="C34" s="86"/>
      <c r="D34" s="86">
        <f ca="1">276.8*OFFSET(D$113,MATCH($N$1,$C$113:$C$114,0)-1,0)</f>
        <v>276.8</v>
      </c>
      <c r="E34" s="86">
        <f ca="1">337.1*OFFSET(E$113,MATCH($N$1,$C$113:$C$114,0)-1,0)</f>
        <v>337.1</v>
      </c>
      <c r="F34" s="86">
        <f ca="1">321.7*OFFSET(F$113,MATCH($N$1,$C$113:$C$114,0)-1,0)</f>
        <v>321.7</v>
      </c>
      <c r="G34" s="86">
        <f ca="1">328.1*OFFSET(G$113,MATCH($N$1,$C$113:$C$114,0)-1,0)</f>
        <v>328.1</v>
      </c>
      <c r="H34" s="86">
        <f ca="1">404.5*OFFSET(H$113,MATCH($N$1,$C$113:$C$114,0)-1,0)</f>
        <v>404.5</v>
      </c>
      <c r="I34" s="86">
        <f ca="1">290.6*OFFSET(I$113,MATCH($N$1,$C$113:$C$114,0)-1,0)</f>
        <v>290.60000000000002</v>
      </c>
      <c r="J34" s="86">
        <f ca="1">389.8*OFFSET(J$113,MATCH($N$1,$C$113:$C$114,0)-1,0)</f>
        <v>389.8</v>
      </c>
      <c r="K34" s="86">
        <f ca="1">506.1*OFFSET(K$113,MATCH($N$1,$C$113:$C$114,0)-1,0)</f>
        <v>506.1</v>
      </c>
      <c r="L34" s="86">
        <f ca="1">340.3*OFFSET(L$113,MATCH($N$1,$C$113:$C$114,0)-1,0)</f>
        <v>340.3</v>
      </c>
      <c r="M34" s="86">
        <f ca="1">379.2*OFFSET(M$113,MATCH($N$1,$C$113:$C$114,0)-1,0)</f>
        <v>379.2</v>
      </c>
      <c r="N34" s="86">
        <v>417.5</v>
      </c>
      <c r="O34" s="84">
        <f t="shared" ca="1" si="0"/>
        <v>0.50830924855491322</v>
      </c>
      <c r="P34" s="84">
        <f t="shared" ca="1" si="1"/>
        <v>7.1062083119548453E-2</v>
      </c>
    </row>
    <row r="35" spans="1:16" s="78" customFormat="1" ht="18" customHeight="1">
      <c r="A35" s="192"/>
      <c r="B35" s="85" t="s">
        <v>216</v>
      </c>
      <c r="C35" s="86"/>
      <c r="D35" s="86">
        <f ca="1">179.4*OFFSET(D$113,MATCH($N$1,$C$113:$C$114,0)-1,0)</f>
        <v>179.4</v>
      </c>
      <c r="E35" s="86">
        <f ca="1">180.1*OFFSET(E$113,MATCH($N$1,$C$113:$C$114,0)-1,0)</f>
        <v>180.1</v>
      </c>
      <c r="F35" s="86">
        <f ca="1">173.2*OFFSET(F$113,MATCH($N$1,$C$113:$C$114,0)-1,0)</f>
        <v>173.2</v>
      </c>
      <c r="G35" s="86">
        <f ca="1">157.3*OFFSET(G$113,MATCH($N$1,$C$113:$C$114,0)-1,0)</f>
        <v>157.30000000000001</v>
      </c>
      <c r="H35" s="86">
        <f ca="1">155.1*OFFSET(H$113,MATCH($N$1,$C$113:$C$114,0)-1,0)</f>
        <v>155.1</v>
      </c>
      <c r="I35" s="86">
        <f ca="1">176.4*OFFSET(I$113,MATCH($N$1,$C$113:$C$114,0)-1,0)</f>
        <v>176.4</v>
      </c>
      <c r="J35" s="86">
        <f ca="1">146.1*OFFSET(J$113,MATCH($N$1,$C$113:$C$114,0)-1,0)</f>
        <v>146.1</v>
      </c>
      <c r="K35" s="86">
        <f ca="1">210.8*OFFSET(K$113,MATCH($N$1,$C$113:$C$114,0)-1,0)</f>
        <v>210.8</v>
      </c>
      <c r="L35" s="86">
        <f ca="1">166.1*OFFSET(L$113,MATCH($N$1,$C$113:$C$114,0)-1,0)</f>
        <v>166.1</v>
      </c>
      <c r="M35" s="86">
        <f ca="1">164.1*OFFSET(M$113,MATCH($N$1,$C$113:$C$114,0)-1,0)</f>
        <v>164.1</v>
      </c>
      <c r="N35" s="86">
        <v>173.9</v>
      </c>
      <c r="O35" s="84">
        <f t="shared" ca="1" si="0"/>
        <v>-3.0657748049052396E-2</v>
      </c>
      <c r="P35" s="84">
        <f t="shared" ca="1" si="1"/>
        <v>0.19028062970568113</v>
      </c>
    </row>
    <row r="36" spans="1:16" s="78" customFormat="1" ht="18" customHeight="1">
      <c r="A36" s="192"/>
      <c r="B36" s="85" t="s">
        <v>217</v>
      </c>
      <c r="C36" s="86"/>
      <c r="D36" s="86">
        <f ca="1">456.2*OFFSET(D$113,MATCH($N$1,$C$113:$C$114,0)-1,0)</f>
        <v>456.2</v>
      </c>
      <c r="E36" s="86">
        <f ca="1">517.2*OFFSET(E$113,MATCH($N$1,$C$113:$C$114,0)-1,0)</f>
        <v>517.20000000000005</v>
      </c>
      <c r="F36" s="86">
        <f ca="1">494.8*OFFSET(F$113,MATCH($N$1,$C$113:$C$114,0)-1,0)</f>
        <v>494.8</v>
      </c>
      <c r="G36" s="86">
        <f ca="1">485.5*OFFSET(G$113,MATCH($N$1,$C$113:$C$114,0)-1,0)</f>
        <v>485.5</v>
      </c>
      <c r="H36" s="86">
        <f ca="1">559.6*OFFSET(H$113,MATCH($N$1,$C$113:$C$114,0)-1,0)</f>
        <v>559.6</v>
      </c>
      <c r="I36" s="86">
        <f ca="1">466.9*OFFSET(I$113,MATCH($N$1,$C$113:$C$114,0)-1,0)</f>
        <v>466.9</v>
      </c>
      <c r="J36" s="86">
        <f ca="1">535.9*OFFSET(J$113,MATCH($N$1,$C$113:$C$114,0)-1,0)</f>
        <v>535.9</v>
      </c>
      <c r="K36" s="86">
        <f ca="1">716.9*OFFSET(K$113,MATCH($N$1,$C$113:$C$114,0)-1,0)</f>
        <v>716.9</v>
      </c>
      <c r="L36" s="86">
        <f ca="1">506.4*OFFSET(L$113,MATCH($N$1,$C$113:$C$114,0)-1,0)</f>
        <v>506.4</v>
      </c>
      <c r="M36" s="86">
        <f ca="1">543.3*OFFSET(M$113,MATCH($N$1,$C$113:$C$114,0)-1,0)</f>
        <v>543.29999999999995</v>
      </c>
      <c r="N36" s="86">
        <v>591.4</v>
      </c>
      <c r="O36" s="84">
        <f t="shared" ca="1" si="0"/>
        <v>0.29636124506795264</v>
      </c>
      <c r="P36" s="84">
        <f t="shared" ca="1" si="1"/>
        <v>0.10356409777943647</v>
      </c>
    </row>
    <row r="37" spans="1:16" s="78" customFormat="1" ht="18" customHeight="1">
      <c r="A37" s="192"/>
      <c r="B37" s="87" t="s">
        <v>218</v>
      </c>
      <c r="C37" s="88"/>
      <c r="D37" s="88">
        <f ca="1">298.6*OFFSET(D$113,MATCH($N$1,$C$113:$C$114,0)-1,0)</f>
        <v>298.60000000000002</v>
      </c>
      <c r="E37" s="88">
        <f ca="1">257.3*OFFSET(E$113,MATCH($N$1,$C$113:$C$114,0)-1,0)</f>
        <v>257.3</v>
      </c>
      <c r="F37" s="88">
        <f ca="1">350.2*OFFSET(F$113,MATCH($N$1,$C$113:$C$114,0)-1,0)</f>
        <v>350.2</v>
      </c>
      <c r="G37" s="88">
        <f ca="1">418.8*OFFSET(G$113,MATCH($N$1,$C$113:$C$114,0)-1,0)</f>
        <v>418.8</v>
      </c>
      <c r="H37" s="88">
        <f ca="1">370.1*OFFSET(H$113,MATCH($N$1,$C$113:$C$114,0)-1,0)</f>
        <v>370.1</v>
      </c>
      <c r="I37" s="88">
        <f ca="1">186.5*OFFSET(I$113,MATCH($N$1,$C$113:$C$114,0)-1,0)</f>
        <v>186.5</v>
      </c>
      <c r="J37" s="88">
        <f ca="1">300.2*OFFSET(J$113,MATCH($N$1,$C$113:$C$114,0)-1,0)</f>
        <v>300.2</v>
      </c>
      <c r="K37" s="88">
        <f ca="1">396.5*OFFSET(K$113,MATCH($N$1,$C$113:$C$114,0)-1,0)</f>
        <v>396.5</v>
      </c>
      <c r="L37" s="88">
        <f ca="1">257.8*OFFSET(L$113,MATCH($N$1,$C$113:$C$114,0)-1,0)</f>
        <v>257.8</v>
      </c>
      <c r="M37" s="88">
        <f ca="1">302.9*OFFSET(M$113,MATCH($N$1,$C$113:$C$114,0)-1,0)</f>
        <v>302.89999999999998</v>
      </c>
      <c r="N37" s="88">
        <v>290.8</v>
      </c>
      <c r="O37" s="84">
        <f t="shared" ca="1" si="0"/>
        <v>-2.6121902210314837E-2</v>
      </c>
      <c r="P37" s="84">
        <f t="shared" ca="1" si="1"/>
        <v>-3.1312458361092532E-2</v>
      </c>
    </row>
    <row r="38" spans="1:16" s="78" customFormat="1" ht="18" customHeight="1">
      <c r="A38" s="192"/>
      <c r="B38" s="87" t="s">
        <v>219</v>
      </c>
      <c r="C38" s="88"/>
      <c r="D38" s="88">
        <f ca="1">141.3*OFFSET(D$113,MATCH($N$1,$C$113:$C$114,0)-1,0)</f>
        <v>141.30000000000001</v>
      </c>
      <c r="E38" s="88">
        <f ca="1">66.1*OFFSET(E$113,MATCH($N$1,$C$113:$C$114,0)-1,0)</f>
        <v>66.099999999999994</v>
      </c>
      <c r="F38" s="88">
        <f ca="1">170.9*OFFSET(F$113,MATCH($N$1,$C$113:$C$114,0)-1,0)</f>
        <v>170.9</v>
      </c>
      <c r="G38" s="88">
        <f ca="1">221.3*OFFSET(G$113,MATCH($N$1,$C$113:$C$114,0)-1,0)</f>
        <v>221.3</v>
      </c>
      <c r="H38" s="88">
        <f ca="1">144.3*OFFSET(H$113,MATCH($N$1,$C$113:$C$114,0)-1,0)</f>
        <v>144.30000000000001</v>
      </c>
      <c r="I38" s="88">
        <f ca="1">69.9*OFFSET(I$113,MATCH($N$1,$C$113:$C$114,0)-1,0)</f>
        <v>69.900000000000006</v>
      </c>
      <c r="J38" s="88">
        <f ca="1">97.7*OFFSET(J$113,MATCH($N$1,$C$113:$C$114,0)-1,0)</f>
        <v>97.7</v>
      </c>
      <c r="K38" s="88">
        <f ca="1">104.8*OFFSET(K$113,MATCH($N$1,$C$113:$C$114,0)-1,0)</f>
        <v>104.8</v>
      </c>
      <c r="L38" s="88">
        <f ca="1">51.8*OFFSET(L$113,MATCH($N$1,$C$113:$C$114,0)-1,0)</f>
        <v>51.8</v>
      </c>
      <c r="M38" s="88">
        <f ca="1">76.5*OFFSET(M$113,MATCH($N$1,$C$113:$C$114,0)-1,0)</f>
        <v>76.5</v>
      </c>
      <c r="N38" s="88">
        <v>65.7</v>
      </c>
      <c r="O38" s="84">
        <f t="shared" ca="1" si="0"/>
        <v>-0.53503184713375795</v>
      </c>
      <c r="P38" s="84">
        <f t="shared" ca="1" si="1"/>
        <v>-0.3275332650972364</v>
      </c>
    </row>
    <row r="39" spans="1:16" s="78" customFormat="1" ht="18" customHeight="1">
      <c r="A39" s="192"/>
      <c r="B39" s="85" t="s">
        <v>220</v>
      </c>
      <c r="C39" s="86"/>
      <c r="D39" s="86">
        <f ca="1">19.8*OFFSET(D$113,MATCH($N$1,$C$113:$C$114,0)-1,0)</f>
        <v>19.8</v>
      </c>
      <c r="E39" s="86">
        <f ca="1">42.4*OFFSET(E$113,MATCH($N$1,$C$113:$C$114,0)-1,0)</f>
        <v>42.4</v>
      </c>
      <c r="F39" s="86">
        <f ca="1">32.3*OFFSET(F$113,MATCH($N$1,$C$113:$C$114,0)-1,0)</f>
        <v>32.299999999999997</v>
      </c>
      <c r="G39" s="86">
        <f ca="1">37.8*OFFSET(G$113,MATCH($N$1,$C$113:$C$114,0)-1,0)</f>
        <v>37.799999999999997</v>
      </c>
      <c r="H39" s="86">
        <f ca="1">46.8*OFFSET(H$113,MATCH($N$1,$C$113:$C$114,0)-1,0)</f>
        <v>46.8</v>
      </c>
      <c r="I39" s="86">
        <f ca="1">8.9*OFFSET(I$113,MATCH($N$1,$C$113:$C$114,0)-1,0)</f>
        <v>8.9</v>
      </c>
      <c r="J39" s="86">
        <f ca="1">32*OFFSET(J$113,MATCH($N$1,$C$113:$C$114,0)-1,0)</f>
        <v>32</v>
      </c>
      <c r="K39" s="86">
        <f ca="1">35.3*OFFSET(K$113,MATCH($N$1,$C$113:$C$114,0)-1,0)</f>
        <v>35.299999999999997</v>
      </c>
      <c r="L39" s="86">
        <f ca="1">29.7*OFFSET(L$113,MATCH($N$1,$C$113:$C$114,0)-1,0)</f>
        <v>29.7</v>
      </c>
      <c r="M39" s="86">
        <f ca="1">20.8*OFFSET(M$113,MATCH($N$1,$C$113:$C$114,0)-1,0)</f>
        <v>20.8</v>
      </c>
      <c r="N39" s="86"/>
      <c r="O39" s="84" t="str">
        <f t="shared" si="0"/>
        <v/>
      </c>
      <c r="P39" s="84" t="str">
        <f t="shared" si="1"/>
        <v/>
      </c>
    </row>
    <row r="40" spans="1:16" s="78" customFormat="1" ht="18" customHeight="1">
      <c r="A40" s="192"/>
      <c r="B40" s="85" t="s">
        <v>221</v>
      </c>
      <c r="C40" s="86"/>
      <c r="D40" s="86"/>
      <c r="E40" s="86"/>
      <c r="F40" s="86">
        <f ca="1">5.9*OFFSET(F$113,MATCH($N$1,$C$113:$C$114,0)-1,0)</f>
        <v>5.9</v>
      </c>
      <c r="G40" s="86">
        <f ca="1">2.4*OFFSET(G$113,MATCH($N$1,$C$113:$C$114,0)-1,0)</f>
        <v>2.4</v>
      </c>
      <c r="H40" s="86">
        <f ca="1">1.3*OFFSET(H$113,MATCH($N$1,$C$113:$C$114,0)-1,0)</f>
        <v>1.3</v>
      </c>
      <c r="I40" s="86">
        <f ca="1">1.6*OFFSET(I$113,MATCH($N$1,$C$113:$C$114,0)-1,0)</f>
        <v>1.6</v>
      </c>
      <c r="J40" s="86">
        <f ca="1">1.3*OFFSET(J$113,MATCH($N$1,$C$113:$C$114,0)-1,0)</f>
        <v>1.3</v>
      </c>
      <c r="K40" s="86">
        <f ca="1">0.2*OFFSET(K$113,MATCH($N$1,$C$113:$C$114,0)-1,0)</f>
        <v>0.2</v>
      </c>
      <c r="L40" s="86">
        <f ca="1">0.2*OFFSET(L$113,MATCH($N$1,$C$113:$C$114,0)-1,0)</f>
        <v>0.2</v>
      </c>
      <c r="M40" s="86"/>
      <c r="N40" s="86"/>
      <c r="O40" s="84" t="str">
        <f t="shared" si="0"/>
        <v/>
      </c>
      <c r="P40" s="84" t="str">
        <f t="shared" si="1"/>
        <v/>
      </c>
    </row>
    <row r="41" spans="1:16" s="78" customFormat="1" ht="18" customHeight="1">
      <c r="A41" s="192"/>
      <c r="B41" s="85" t="s">
        <v>222</v>
      </c>
      <c r="C41" s="86"/>
      <c r="D41" s="86"/>
      <c r="E41" s="86"/>
      <c r="F41" s="86">
        <f ca="1">3.4*OFFSET(F$113,MATCH($N$1,$C$113:$C$114,0)-1,0)</f>
        <v>3.4</v>
      </c>
      <c r="G41" s="86">
        <f ca="1">0.2*OFFSET(G$113,MATCH($N$1,$C$113:$C$114,0)-1,0)</f>
        <v>0.2</v>
      </c>
      <c r="H41" s="86">
        <f ca="1">0.7*OFFSET(H$113,MATCH($N$1,$C$113:$C$114,0)-1,0)</f>
        <v>0.7</v>
      </c>
      <c r="I41" s="86"/>
      <c r="J41" s="86">
        <f ca="1">0.3*OFFSET(J$113,MATCH($N$1,$C$113:$C$114,0)-1,0)</f>
        <v>0.3</v>
      </c>
      <c r="K41" s="86">
        <f ca="1">0.1*OFFSET(K$113,MATCH($N$1,$C$113:$C$114,0)-1,0)</f>
        <v>0.1</v>
      </c>
      <c r="L41" s="86">
        <f ca="1">0.1*OFFSET(L$113,MATCH($N$1,$C$113:$C$114,0)-1,0)</f>
        <v>0.1</v>
      </c>
      <c r="M41" s="86">
        <f ca="1">0.1*OFFSET(M$113,MATCH($N$1,$C$113:$C$114,0)-1,0)</f>
        <v>0.1</v>
      </c>
      <c r="N41" s="86"/>
      <c r="O41" s="84" t="str">
        <f t="shared" si="0"/>
        <v/>
      </c>
      <c r="P41" s="84" t="str">
        <f t="shared" si="1"/>
        <v/>
      </c>
    </row>
    <row r="42" spans="1:16" s="78" customFormat="1" ht="18" customHeight="1" thickBot="1">
      <c r="A42" s="193"/>
      <c r="B42" s="89" t="s">
        <v>223</v>
      </c>
      <c r="C42" s="90"/>
      <c r="D42" s="90">
        <f ca="1">121.4*OFFSET(D$113,MATCH($N$1,$C$113:$C$114,0)-1,0)</f>
        <v>121.4</v>
      </c>
      <c r="E42" s="90">
        <f ca="1">23.8*OFFSET(E$113,MATCH($N$1,$C$113:$C$114,0)-1,0)</f>
        <v>23.8</v>
      </c>
      <c r="F42" s="90">
        <f ca="1">129.2*OFFSET(F$113,MATCH($N$1,$C$113:$C$114,0)-1,0)</f>
        <v>129.19999999999999</v>
      </c>
      <c r="G42" s="90">
        <f ca="1">180.9*OFFSET(G$113,MATCH($N$1,$C$113:$C$114,0)-1,0)</f>
        <v>180.9</v>
      </c>
      <c r="H42" s="90">
        <f ca="1">95.5*OFFSET(H$113,MATCH($N$1,$C$113:$C$114,0)-1,0)</f>
        <v>95.5</v>
      </c>
      <c r="I42" s="90">
        <f ca="1">59.4*OFFSET(I$113,MATCH($N$1,$C$113:$C$114,0)-1,0)</f>
        <v>59.4</v>
      </c>
      <c r="J42" s="90">
        <f ca="1">64.1*OFFSET(J$113,MATCH($N$1,$C$113:$C$114,0)-1,0)</f>
        <v>64.099999999999994</v>
      </c>
      <c r="K42" s="90">
        <f ca="1">69.2*OFFSET(K$113,MATCH($N$1,$C$113:$C$114,0)-1,0)</f>
        <v>69.2</v>
      </c>
      <c r="L42" s="90">
        <f ca="1">21.8*OFFSET(L$113,MATCH($N$1,$C$113:$C$114,0)-1,0)</f>
        <v>21.8</v>
      </c>
      <c r="M42" s="90">
        <f ca="1">55.6*OFFSET(M$113,MATCH($N$1,$C$113:$C$114,0)-1,0)</f>
        <v>55.6</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Gill netters</v>
      </c>
      <c r="C49" s="101"/>
      <c r="D49" s="101"/>
      <c r="E49" s="101"/>
      <c r="F49" s="101"/>
      <c r="G49" s="101"/>
      <c r="K49" s="101" t="str">
        <f>$B25&amp;CHAR(10)&amp;$A$1</f>
        <v>Operating profit per kW day at sea (£)
Gill netters</v>
      </c>
    </row>
    <row r="50" spans="1:11" s="78" customFormat="1">
      <c r="A50" s="101" t="str">
        <f>$B23&amp;CHAR(10)&amp;$A$1</f>
        <v>Fishing income per kW day at sea (£)
Gill netters</v>
      </c>
    </row>
    <row r="51" spans="1:11" s="78" customFormat="1">
      <c r="A51" s="101" t="str">
        <f>$B21&amp;CHAR(10)&amp;$A$1</f>
        <v>Average price per tonne landed (£)
Gill netters</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Gill netters</v>
      </c>
      <c r="F63" s="101" t="str">
        <f>$B21&amp;CHAR(10)&amp;$A$1</f>
        <v>Average price per tonne landed (£)
Gill netters</v>
      </c>
      <c r="K63" s="101" t="str">
        <f>"Average annual operating profit per vessel (£'000)"&amp;CHAR(10)&amp;$A$1</f>
        <v>Average annual operating profit per vessel (£'000)
Gill netters</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Gill netters</v>
      </c>
      <c r="F77" s="101" t="str">
        <f>"Top 5 landed species by value in "&amp;A78&amp;CHAR(10)&amp;A1</f>
        <v>Top 5 landed species by value in 2021
Gill netters</v>
      </c>
    </row>
    <row r="78" spans="1:11" s="101" customFormat="1">
      <c r="A78" s="101">
        <v>2021</v>
      </c>
      <c r="B78" s="101" t="s">
        <v>339</v>
      </c>
      <c r="C78" s="102">
        <v>0.38758938161337614</v>
      </c>
      <c r="D78" s="103">
        <v>12153634</v>
      </c>
      <c r="G78" s="101" t="s">
        <v>340</v>
      </c>
      <c r="H78" s="102">
        <v>0.43082779391655335</v>
      </c>
      <c r="I78" s="103">
        <v>12153634</v>
      </c>
      <c r="K78" s="101" t="s">
        <v>237</v>
      </c>
    </row>
    <row r="79" spans="1:11" s="101" customFormat="1">
      <c r="B79" s="101" t="s">
        <v>341</v>
      </c>
      <c r="C79" s="102">
        <v>0.27272626110808451</v>
      </c>
      <c r="D79" s="103">
        <v>3689192</v>
      </c>
      <c r="G79" s="101" t="s">
        <v>342</v>
      </c>
      <c r="H79" s="102">
        <v>0.31027166767982722</v>
      </c>
      <c r="I79" s="103">
        <v>553960</v>
      </c>
    </row>
    <row r="80" spans="1:11" s="101" customFormat="1">
      <c r="B80" s="101" t="s">
        <v>343</v>
      </c>
      <c r="C80" s="102">
        <v>0.1809374998735476</v>
      </c>
      <c r="D80" s="103">
        <v>553960</v>
      </c>
      <c r="G80" s="101" t="s">
        <v>344</v>
      </c>
      <c r="H80" s="102">
        <v>6.4510615438984217E-2</v>
      </c>
      <c r="I80" s="103">
        <v>3050596</v>
      </c>
    </row>
    <row r="81" spans="1:19" s="101" customFormat="1">
      <c r="B81" s="101" t="s">
        <v>345</v>
      </c>
      <c r="C81" s="102">
        <v>4.3103066157062379E-2</v>
      </c>
      <c r="D81" s="103">
        <v>1692097</v>
      </c>
      <c r="G81" s="101" t="s">
        <v>346</v>
      </c>
      <c r="H81" s="102">
        <v>5.6517211476713354E-2</v>
      </c>
      <c r="I81" s="103">
        <v>1692097</v>
      </c>
    </row>
    <row r="82" spans="1:19" s="101" customFormat="1">
      <c r="B82" s="101" t="s">
        <v>347</v>
      </c>
      <c r="C82" s="102">
        <v>2.0734163742300398E-2</v>
      </c>
      <c r="D82" s="103">
        <v>11115023</v>
      </c>
      <c r="G82" s="101" t="s">
        <v>348</v>
      </c>
      <c r="H82" s="102">
        <v>3.726079741228689E-2</v>
      </c>
      <c r="I82" s="103">
        <v>3689192</v>
      </c>
    </row>
    <row r="83" spans="1:19" s="101" customFormat="1">
      <c r="B83" s="101" t="s">
        <v>349</v>
      </c>
      <c r="C83" s="102">
        <v>9.4909627505628924E-2</v>
      </c>
      <c r="D83" s="103">
        <v>5920853</v>
      </c>
      <c r="G83" s="101" t="s">
        <v>350</v>
      </c>
      <c r="H83" s="102">
        <v>0.10061191407563486</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161</v>
      </c>
      <c r="D93" s="107">
        <v>0.50116003545755916</v>
      </c>
      <c r="E93" s="107">
        <v>0.5264204761957747</v>
      </c>
      <c r="F93" s="107">
        <v>0.53102206261319262</v>
      </c>
      <c r="G93" s="107">
        <v>0.50228422823522689</v>
      </c>
      <c r="H93" s="107">
        <v>0.40259672734756691</v>
      </c>
      <c r="I93" s="107">
        <v>0.39245515808732206</v>
      </c>
      <c r="J93" s="107">
        <v>0.50255080542275821</v>
      </c>
      <c r="K93" s="107">
        <v>0.45694328715023252</v>
      </c>
      <c r="L93" s="107">
        <v>0.43082779391655335</v>
      </c>
      <c r="M93" s="107">
        <v>0.35792583509842157</v>
      </c>
      <c r="O93" s="101">
        <v>12153634</v>
      </c>
    </row>
    <row r="94" spans="1:19" s="101" customFormat="1" hidden="1">
      <c r="B94" s="101">
        <v>2</v>
      </c>
      <c r="C94" s="101" t="s">
        <v>165</v>
      </c>
      <c r="D94" s="107">
        <v>0.13999365104237649</v>
      </c>
      <c r="E94" s="107">
        <v>0.11614284088730938</v>
      </c>
      <c r="F94" s="107">
        <v>0.17386423956225144</v>
      </c>
      <c r="G94" s="107">
        <v>0.15019280233610172</v>
      </c>
      <c r="H94" s="107">
        <v>0.27298358470746503</v>
      </c>
      <c r="I94" s="107">
        <v>0.36356795311225626</v>
      </c>
      <c r="J94" s="107">
        <v>0.33550651355699607</v>
      </c>
      <c r="K94" s="107">
        <v>0.27722274530249419</v>
      </c>
      <c r="L94" s="107">
        <v>0.31027166767982722</v>
      </c>
      <c r="M94" s="107">
        <v>0.34404129659233457</v>
      </c>
      <c r="O94" s="101">
        <v>553960</v>
      </c>
    </row>
    <row r="95" spans="1:19" s="101" customFormat="1" hidden="1">
      <c r="B95" s="101">
        <v>3</v>
      </c>
      <c r="C95" s="101" t="s">
        <v>294</v>
      </c>
      <c r="D95" s="107">
        <v>4.6203385419087896E-2</v>
      </c>
      <c r="E95" s="107">
        <v>5.7566587462359937E-2</v>
      </c>
      <c r="F95" s="107">
        <v>7.4084531282658544E-2</v>
      </c>
      <c r="G95" s="107">
        <v>6.2934793010253787E-2</v>
      </c>
      <c r="H95" s="107">
        <v>8.2857089846042134E-2</v>
      </c>
      <c r="I95" s="107">
        <v>5.2389363514394251E-2</v>
      </c>
      <c r="J95" s="107">
        <v>3.9225525286205709E-2</v>
      </c>
      <c r="K95" s="107">
        <v>3.1258955604632897E-2</v>
      </c>
      <c r="L95" s="107">
        <v>6.4510615438984217E-2</v>
      </c>
      <c r="M95" s="107">
        <v>7.0349370488997878E-2</v>
      </c>
      <c r="O95" s="101">
        <v>3050596</v>
      </c>
    </row>
    <row r="96" spans="1:19" s="101" customFormat="1" hidden="1">
      <c r="B96" s="101">
        <v>4</v>
      </c>
      <c r="C96" s="101" t="s">
        <v>248</v>
      </c>
      <c r="D96" s="107">
        <v>0.12690128575604356</v>
      </c>
      <c r="E96" s="107">
        <v>8.9997113815497076E-2</v>
      </c>
      <c r="F96" s="107">
        <v>0.10451047323682797</v>
      </c>
      <c r="G96" s="107">
        <v>0.1381188094241744</v>
      </c>
      <c r="H96" s="107">
        <v>9.1360198154771852E-2</v>
      </c>
      <c r="I96" s="107">
        <v>5.3129253089279786E-2</v>
      </c>
      <c r="J96" s="107">
        <v>3.0691268068435543E-2</v>
      </c>
      <c r="K96" s="107">
        <v>8.8387644864356477E-2</v>
      </c>
      <c r="L96" s="107">
        <v>5.6517211476713354E-2</v>
      </c>
      <c r="M96" s="107">
        <v>5.7358543854723526E-2</v>
      </c>
      <c r="O96" s="101">
        <v>1692097</v>
      </c>
    </row>
    <row r="97" spans="1:15" s="101" customFormat="1" hidden="1">
      <c r="B97" s="101">
        <v>5</v>
      </c>
      <c r="C97" s="101" t="s">
        <v>351</v>
      </c>
      <c r="D97" s="107">
        <v>4.9621307553054245E-2</v>
      </c>
      <c r="E97" s="107"/>
      <c r="F97" s="107">
        <v>2.1254795697274315E-2</v>
      </c>
      <c r="G97" s="107"/>
      <c r="H97" s="107">
        <v>3.6110011387424493E-2</v>
      </c>
      <c r="I97" s="107">
        <v>4.4981469394183744E-2</v>
      </c>
      <c r="J97" s="107">
        <v>2.1982962591874551E-2</v>
      </c>
      <c r="K97" s="107">
        <v>5.0287178222786902E-2</v>
      </c>
      <c r="L97" s="107">
        <v>3.726079741228689E-2</v>
      </c>
      <c r="M97" s="107">
        <v>4.6828737392643691E-2</v>
      </c>
      <c r="O97" s="101">
        <v>3689192</v>
      </c>
    </row>
    <row r="98" spans="1:15" s="101" customFormat="1" hidden="1">
      <c r="B98" s="101">
        <v>6</v>
      </c>
      <c r="C98" s="101" t="s">
        <v>168</v>
      </c>
      <c r="D98" s="107"/>
      <c r="E98" s="107"/>
      <c r="F98" s="107"/>
      <c r="G98" s="107">
        <v>2.6811384040103286E-2</v>
      </c>
      <c r="H98" s="107"/>
      <c r="I98" s="107"/>
      <c r="J98" s="107"/>
      <c r="K98" s="107"/>
      <c r="L98" s="107"/>
      <c r="M98" s="107"/>
      <c r="O98" s="101">
        <v>11115023</v>
      </c>
    </row>
    <row r="99" spans="1:15" s="101" customFormat="1" hidden="1">
      <c r="B99" s="101">
        <v>7</v>
      </c>
      <c r="C99" s="101" t="s">
        <v>169</v>
      </c>
      <c r="D99" s="107"/>
      <c r="E99" s="107">
        <v>3.5113066632180112E-2</v>
      </c>
      <c r="F99" s="107"/>
      <c r="G99" s="107"/>
      <c r="H99" s="107"/>
      <c r="I99" s="107"/>
      <c r="J99" s="107"/>
      <c r="K99" s="107"/>
      <c r="L99" s="107"/>
      <c r="M99" s="107"/>
      <c r="O99" s="101">
        <v>2480382</v>
      </c>
    </row>
    <row r="100" spans="1:15" s="101" customFormat="1" hidden="1">
      <c r="B100" s="101">
        <v>8</v>
      </c>
      <c r="C100" s="101" t="s">
        <v>251</v>
      </c>
      <c r="D100" s="107">
        <v>0.1361203347718786</v>
      </c>
      <c r="E100" s="107">
        <v>0.17475991500687876</v>
      </c>
      <c r="F100" s="107">
        <v>9.526389760779512E-2</v>
      </c>
      <c r="G100" s="107">
        <v>0.11965798295413989</v>
      </c>
      <c r="H100" s="107">
        <v>0.11409238855672958</v>
      </c>
      <c r="I100" s="107">
        <v>9.3476802802563902E-2</v>
      </c>
      <c r="J100" s="107">
        <v>7.0042925073729931E-2</v>
      </c>
      <c r="K100" s="107">
        <v>9.5900188855497018E-2</v>
      </c>
      <c r="L100" s="107">
        <v>0.10061191407563497</v>
      </c>
      <c r="M100" s="107">
        <v>0.12349621657287878</v>
      </c>
      <c r="O100" s="101">
        <v>5920853</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9</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7</v>
      </c>
      <c r="D121" s="52">
        <v>12</v>
      </c>
      <c r="E121" s="52">
        <v>7</v>
      </c>
      <c r="F121" s="53">
        <v>26</v>
      </c>
    </row>
    <row r="122" spans="1:15" ht="18" customHeight="1">
      <c r="A122" s="186" t="s">
        <v>198</v>
      </c>
      <c r="B122" s="35" t="s">
        <v>199</v>
      </c>
      <c r="C122" s="54">
        <v>23.327142715454102</v>
      </c>
      <c r="D122" s="54">
        <v>18.71833324432373</v>
      </c>
      <c r="E122" s="54">
        <v>20.167142868041992</v>
      </c>
      <c r="F122" s="55">
        <v>20.349231719970703</v>
      </c>
    </row>
    <row r="123" spans="1:15" ht="18" customHeight="1">
      <c r="A123" s="187"/>
      <c r="B123" s="37" t="s">
        <v>190</v>
      </c>
      <c r="C123" s="56">
        <v>343.42855834960938</v>
      </c>
      <c r="D123" s="56">
        <v>319.75</v>
      </c>
      <c r="E123" s="56">
        <v>336.85714721679688</v>
      </c>
      <c r="F123" s="57">
        <v>330.73077392578125</v>
      </c>
    </row>
    <row r="124" spans="1:15" ht="18" customHeight="1">
      <c r="A124" s="187"/>
      <c r="B124" s="37" t="s">
        <v>191</v>
      </c>
      <c r="C124" s="56">
        <v>157.14285278320313</v>
      </c>
      <c r="D124" s="56">
        <v>124.58333587646484</v>
      </c>
      <c r="E124" s="56">
        <v>148.71427917480469</v>
      </c>
      <c r="F124" s="57">
        <v>139.84616088867188</v>
      </c>
    </row>
    <row r="125" spans="1:15" ht="18" customHeight="1">
      <c r="A125" s="187"/>
      <c r="B125" s="37" t="s">
        <v>192</v>
      </c>
      <c r="C125" s="56">
        <v>310.73046875</v>
      </c>
      <c r="D125" s="56">
        <v>267.16590881347656</v>
      </c>
      <c r="E125" s="56">
        <v>288.37442016601563</v>
      </c>
      <c r="F125" s="57">
        <v>284.60479736328125</v>
      </c>
    </row>
    <row r="126" spans="1:15" ht="18" customHeight="1">
      <c r="A126" s="187"/>
      <c r="B126" s="37" t="s">
        <v>193</v>
      </c>
      <c r="C126" s="33">
        <v>508.03680419921875</v>
      </c>
      <c r="D126" s="33">
        <v>237.00201416015625</v>
      </c>
      <c r="E126" s="33">
        <v>119.97328186035156</v>
      </c>
      <c r="F126" s="58">
        <v>278.46517944335938</v>
      </c>
    </row>
    <row r="127" spans="1:15" ht="18" customHeight="1">
      <c r="A127" s="187"/>
      <c r="B127" s="37" t="s">
        <v>200</v>
      </c>
      <c r="C127" s="33">
        <f ca="1">887.9839375*OFFSET($L$113,MATCH($N$1,$C$113:$C$114,0)-1,0)</f>
        <v>887.98393750000002</v>
      </c>
      <c r="D127" s="33">
        <f ca="1">673.4415625*OFFSET($L$113,MATCH($N$1,$C$113:$C$114,0)-1,0)</f>
        <v>673.44156250000003</v>
      </c>
      <c r="E127" s="33">
        <f ca="1">234.553921875*OFFSET($L$113,MATCH($N$1,$C$113:$C$114,0)-1,0)</f>
        <v>234.55392187499999</v>
      </c>
      <c r="F127" s="58">
        <f ca="1">613.0409375*OFFSET($L$113,MATCH($N$1,$C$113:$C$114,0)-1,0)</f>
        <v>613.04093750000004</v>
      </c>
    </row>
    <row r="128" spans="1:15" ht="18" customHeight="1">
      <c r="A128" s="187"/>
      <c r="B128" s="37" t="s">
        <v>195</v>
      </c>
      <c r="C128" s="56">
        <v>172.14285278320313</v>
      </c>
      <c r="D128" s="56">
        <v>172.91666412353516</v>
      </c>
      <c r="E128" s="56">
        <v>115.85713958740234</v>
      </c>
      <c r="F128" s="57">
        <v>157.34616088867188</v>
      </c>
    </row>
    <row r="129" spans="1:15" ht="18" customHeight="1">
      <c r="A129" s="187"/>
      <c r="B129" s="37" t="s">
        <v>201</v>
      </c>
      <c r="C129" s="56">
        <v>40</v>
      </c>
      <c r="D129" s="56">
        <v>26.75</v>
      </c>
      <c r="E129" s="56">
        <v>46.285713195800781</v>
      </c>
      <c r="F129" s="57">
        <v>35.576923370361328</v>
      </c>
    </row>
    <row r="130" spans="1:15" ht="18" customHeight="1">
      <c r="A130" s="187"/>
      <c r="B130" s="37" t="s">
        <v>202</v>
      </c>
      <c r="C130" s="59">
        <v>2.9512512683868408</v>
      </c>
      <c r="D130" s="59">
        <v>1.3706140779516613</v>
      </c>
      <c r="E130" s="59">
        <v>1.0355277061462402</v>
      </c>
      <c r="F130" s="60">
        <v>1.7697615623474121</v>
      </c>
    </row>
    <row r="131" spans="1:15" ht="18" customHeight="1">
      <c r="A131" s="188"/>
      <c r="B131" s="39" t="s">
        <v>203</v>
      </c>
      <c r="C131" s="40">
        <f ca="1">1747.87324493087*OFFSET($L$113,MATCH($N$1,$C$113:$C$114,0)-1,0)</f>
        <v>1747.87324493087</v>
      </c>
      <c r="D131" s="40">
        <f ca="1">2841.50143148115*OFFSET($L$113,MATCH($N$1,$C$113:$C$114,0)-1,0)</f>
        <v>2841.5014314811501</v>
      </c>
      <c r="E131" s="40">
        <f ca="1">1955.05131007435*OFFSET($L$113,MATCH($N$1,$C$113:$C$114,0)-1,0)</f>
        <v>1955.0513100743501</v>
      </c>
      <c r="F131" s="61">
        <f ca="1">2201*OFFSET($L$113,MATCH($N$1,$C$113:$C$114,0)-1,0)</f>
        <v>2201</v>
      </c>
    </row>
    <row r="132" spans="1:15" ht="18" customHeight="1">
      <c r="A132" s="198" t="s">
        <v>204</v>
      </c>
      <c r="B132" s="35" t="s">
        <v>205</v>
      </c>
      <c r="C132" s="62">
        <v>6.2630018795638334</v>
      </c>
      <c r="D132" s="62">
        <v>4.1999542243353343</v>
      </c>
      <c r="E132" s="62">
        <v>2.7980054447765084</v>
      </c>
      <c r="F132" s="63">
        <v>4.6857723014313786</v>
      </c>
    </row>
    <row r="133" spans="1:15" ht="18" customHeight="1">
      <c r="A133" s="199"/>
      <c r="B133" s="37" t="s">
        <v>206</v>
      </c>
      <c r="C133" s="59">
        <f ca="1">10.9469334182414*OFFSET($L$113,MATCH($N$1,$C$113:$C$114,0)-1,0)</f>
        <v>10.9469334182414</v>
      </c>
      <c r="D133" s="59">
        <f ca="1">11.9341759406042*OFFSET($L$113,MATCH($N$1,$C$113:$C$114,0)-1,0)</f>
        <v>11.934175940604201</v>
      </c>
      <c r="E133" s="59">
        <f ca="1">5.47024421040549*OFFSET($L$113,MATCH($N$1,$C$113:$C$114,0)-1,0)</f>
        <v>5.4702442104054896</v>
      </c>
      <c r="F133" s="60">
        <f ca="1">10.3157251126449*OFFSET($L$113,MATCH($N$1,$C$113:$C$114,0)-1,0)</f>
        <v>10.3157251126449</v>
      </c>
    </row>
    <row r="134" spans="1:15" ht="18" customHeight="1">
      <c r="A134" s="199"/>
      <c r="B134" s="37" t="s">
        <v>153</v>
      </c>
      <c r="C134" s="59">
        <f ca="1">9.38918109747535*OFFSET($L$113,MATCH($N$1,$C$113:$C$114,0)-1,0)</f>
        <v>9.3891810974753493</v>
      </c>
      <c r="D134" s="59">
        <f ca="1">10.4839026485854*OFFSET($L$113,MATCH($N$1,$C$113:$C$114,0)-1,0)</f>
        <v>10.483902648585399</v>
      </c>
      <c r="E134" s="59">
        <f ca="1">5.05948128804329*OFFSET($L$113,MATCH($N$1,$C$113:$C$114,0)-1,0)</f>
        <v>5.0594812880432896</v>
      </c>
      <c r="F134" s="60">
        <f ca="1">9.02788355540884*OFFSET($L$113,MATCH($N$1,$C$113:$C$114,0)-1,0)</f>
        <v>9.0278835554088399</v>
      </c>
    </row>
    <row r="135" spans="1:15" ht="18" customHeight="1">
      <c r="A135" s="200"/>
      <c r="B135" s="39" t="s">
        <v>154</v>
      </c>
      <c r="C135" s="64">
        <f ca="1">1.55775232076605*OFFSET($L$113,MATCH($N$1,$C$113:$C$114,0)-1,0)</f>
        <v>1.55775232076605</v>
      </c>
      <c r="D135" s="64">
        <f ca="1">1.45027329201877*OFFSET($L$113,MATCH($N$1,$C$113:$C$114,0)-1,0)</f>
        <v>1.45027329201877</v>
      </c>
      <c r="E135" s="64">
        <f ca="1">0.410762922362199*OFFSET($L$113,MATCH($N$1,$C$113:$C$114,0)-1,0)</f>
        <v>0.41076292236219902</v>
      </c>
      <c r="F135" s="65">
        <f ca="1">1.28784155723603*OFFSET($L$113,MATCH($N$1,$C$113:$C$114,0)-1,0)</f>
        <v>1.28784155723603</v>
      </c>
    </row>
    <row r="136" spans="1:15" ht="18" customHeight="1">
      <c r="A136" s="201" t="s">
        <v>260</v>
      </c>
      <c r="B136" s="37" t="s">
        <v>261</v>
      </c>
      <c r="C136" s="66">
        <f ca="1">43.06105078125*OFFSET($L$113,MATCH($N$1,$C$113:$C$114,0)-1,0)</f>
        <v>43.061050781250003</v>
      </c>
      <c r="D136" s="66">
        <f ca="1">46.649759765625*OFFSET($L$113,MATCH($N$1,$C$113:$C$114,0)-1,0)</f>
        <v>46.649759765624999</v>
      </c>
      <c r="E136" s="66">
        <f ca="1">27.13858203125*OFFSET($L$113,MATCH($N$1,$C$113:$C$114,0)-1,0)</f>
        <v>27.138582031249999</v>
      </c>
      <c r="F136" s="67">
        <f ca="1">40.43055859375*OFFSET($L$113,MATCH($N$1,$C$113:$C$114,0)-1,0)</f>
        <v>40.43055859375</v>
      </c>
    </row>
    <row r="137" spans="1:15" ht="18" customHeight="1">
      <c r="A137" s="202"/>
      <c r="B137" s="37" t="s">
        <v>262</v>
      </c>
      <c r="C137" s="31">
        <v>90457.139607120305</v>
      </c>
      <c r="D137" s="31">
        <v>97633.328194533955</v>
      </c>
      <c r="E137" s="31">
        <v>56628.571225479245</v>
      </c>
      <c r="F137" s="68">
        <v>84661.538461538468</v>
      </c>
    </row>
    <row r="138" spans="1:15" ht="18" customHeight="1">
      <c r="A138" s="202"/>
      <c r="B138" s="37" t="s">
        <v>263</v>
      </c>
      <c r="C138" s="31">
        <v>525.4771728515625</v>
      </c>
      <c r="D138" s="31">
        <v>564.62648460985065</v>
      </c>
      <c r="E138" s="31">
        <v>488.779296875</v>
      </c>
      <c r="F138" s="68">
        <v>538.05914306640625</v>
      </c>
    </row>
    <row r="139" spans="1:15" ht="18" customHeight="1">
      <c r="A139" s="202"/>
      <c r="B139" s="37" t="s">
        <v>264</v>
      </c>
      <c r="C139" s="31">
        <f ca="1">250.147189296794*OFFSET($L$113,MATCH($N$1,$C$113:$C$114,0)-1,0)</f>
        <v>250.14718929679401</v>
      </c>
      <c r="D139" s="31">
        <f ca="1">269.781747190644*OFFSET($L$113,MATCH($N$1,$C$113:$C$114,0)-1,0)</f>
        <v>269.78174719064401</v>
      </c>
      <c r="E139" s="31">
        <f ca="1">234.241775067964*OFFSET($L$113,MATCH($N$1,$C$113:$C$114,0)-1,0)</f>
        <v>234.241775067964</v>
      </c>
      <c r="F139" s="68">
        <f ca="1">256.952939718409*OFFSET($L$113,MATCH($N$1,$C$113:$C$114,0)-1,0)</f>
        <v>256.95293971840903</v>
      </c>
      <c r="I139" s="43"/>
      <c r="L139" s="69" t="str">
        <f>C120</f>
        <v>Most
profitable
quartile</v>
      </c>
      <c r="M139" s="69" t="str">
        <f>D120</f>
        <v>Middle
two quartiles</v>
      </c>
      <c r="N139" s="69" t="str">
        <f>E120</f>
        <v>Least
profitable
quartile</v>
      </c>
      <c r="O139" s="69"/>
    </row>
    <row r="140" spans="1:15" ht="18" customHeight="1">
      <c r="A140" s="202"/>
      <c r="B140" s="37" t="s">
        <v>265</v>
      </c>
      <c r="C140" s="31">
        <f ca="1">84.7597072206688*OFFSET($L$113,MATCH($N$1,$C$113:$C$114,0)-1,0)</f>
        <v>84.759707220668801</v>
      </c>
      <c r="D140" s="31">
        <f ca="1">196.832756594638*OFFSET($L$113,MATCH($N$1,$C$113:$C$114,0)-1,0)</f>
        <v>196.832756594638</v>
      </c>
      <c r="E140" s="31">
        <f ca="1">226.205215114805*OFFSET($L$113,MATCH($N$1,$C$113:$C$114,0)-1,0)</f>
        <v>226.20521511480499</v>
      </c>
      <c r="F140" s="68">
        <f ca="1">145.190715315175*OFFSET($L$113,MATCH($N$1,$C$113:$C$114,0)-1,0)</f>
        <v>145.190715315175</v>
      </c>
      <c r="I140" s="43"/>
      <c r="K140" s="69" t="s">
        <v>266</v>
      </c>
      <c r="L140" s="70">
        <f t="shared" ref="L140:M142" ca="1" si="2">C141</f>
        <v>897.79062499999998</v>
      </c>
      <c r="M140" s="70">
        <f t="shared" ca="1" si="2"/>
        <v>680.87890625</v>
      </c>
      <c r="N140" s="70">
        <f ca="1">E141</f>
        <v>237.14428125000001</v>
      </c>
      <c r="O140" s="70"/>
    </row>
    <row r="141" spans="1:15" ht="18" customHeight="1">
      <c r="A141" s="179" t="s">
        <v>267</v>
      </c>
      <c r="B141" s="35" t="s">
        <v>268</v>
      </c>
      <c r="C141" s="71">
        <f ca="1">897.790625*OFFSET($L$113,MATCH($N$1,$C$113:$C$114,0)-1,0)</f>
        <v>897.79062499999998</v>
      </c>
      <c r="D141" s="71">
        <f ca="1">680.87890625*OFFSET($L$113,MATCH($N$1,$C$113:$C$114,0)-1,0)</f>
        <v>680.87890625</v>
      </c>
      <c r="E141" s="71">
        <f ca="1">237.14428125*OFFSET($L$113,MATCH($N$1,$C$113:$C$114,0)-1,0)</f>
        <v>237.14428125000001</v>
      </c>
      <c r="F141" s="72">
        <f ca="1">619.8111875*OFFSET($L$113,MATCH($N$1,$C$113:$C$114,0)-1,0)</f>
        <v>619.81118749999996</v>
      </c>
      <c r="I141" s="43"/>
      <c r="K141" s="69" t="s">
        <v>269</v>
      </c>
      <c r="L141" s="70">
        <f t="shared" ca="1" si="2"/>
        <v>771.43018749999999</v>
      </c>
      <c r="M141" s="70">
        <f t="shared" ca="1" si="2"/>
        <v>599.04046874999995</v>
      </c>
      <c r="N141" s="70">
        <f ca="1">E142</f>
        <v>219.53153125</v>
      </c>
      <c r="O141" s="70"/>
    </row>
    <row r="142" spans="1:15" ht="18" customHeight="1">
      <c r="A142" s="180"/>
      <c r="B142" s="37" t="s">
        <v>270</v>
      </c>
      <c r="C142" s="31">
        <f ca="1">771.4301875*OFFSET($L$113,MATCH($N$1,$C$113:$C$114,0)-1,0)</f>
        <v>771.43018749999999</v>
      </c>
      <c r="D142" s="31">
        <f ca="1">599.04046875*OFFSET($L$113,MATCH($N$1,$C$113:$C$114,0)-1,0)</f>
        <v>599.04046874999995</v>
      </c>
      <c r="E142" s="31">
        <f ca="1">219.53153125*OFFSET($L$113,MATCH($N$1,$C$113:$C$114,0)-1,0)</f>
        <v>219.53153125</v>
      </c>
      <c r="F142" s="68">
        <f ca="1">543.277625*OFFSET($L$113,MATCH($N$1,$C$113:$C$114,0)-1,0)</f>
        <v>543.27762499999994</v>
      </c>
      <c r="I142" s="43"/>
      <c r="K142" s="69" t="s">
        <v>271</v>
      </c>
      <c r="L142" s="70">
        <f t="shared" ca="1" si="2"/>
        <v>126.3604375</v>
      </c>
      <c r="M142" s="70">
        <f t="shared" ca="1" si="2"/>
        <v>81.838437499999998</v>
      </c>
      <c r="N142" s="70">
        <f ca="1">E143</f>
        <v>17.612749999999998</v>
      </c>
      <c r="O142" s="70"/>
    </row>
    <row r="143" spans="1:15" ht="18" customHeight="1">
      <c r="A143" s="181"/>
      <c r="B143" s="39" t="s">
        <v>272</v>
      </c>
      <c r="C143" s="40">
        <f ca="1">126.3604375*OFFSET($L$113,MATCH($N$1,$C$113:$C$114,0)-1,0)</f>
        <v>126.3604375</v>
      </c>
      <c r="D143" s="40">
        <f ca="1">81.8384375*OFFSET($L$113,MATCH($N$1,$C$113:$C$114,0)-1,0)</f>
        <v>81.838437499999998</v>
      </c>
      <c r="E143" s="40">
        <f ca="1">17.61275*OFFSET($L$113,MATCH($N$1,$C$113:$C$114,0)-1,0)</f>
        <v>17.612749999999998</v>
      </c>
      <c r="F143" s="61">
        <f ca="1">76.5336015625*OFFSET($L$113,MATCH($N$1,$C$113:$C$114,0)-1,0)</f>
        <v>76.533601562499996</v>
      </c>
      <c r="I143" s="43"/>
      <c r="K143" s="69" t="s">
        <v>273</v>
      </c>
      <c r="L143" s="73">
        <f ca="1">IFERROR(L141/L$140,"")</f>
        <v>0.8592540020118834</v>
      </c>
      <c r="M143" s="73">
        <f t="shared" ref="M143:N144" ca="1" si="3">IFERROR(M141/M$140,"")</f>
        <v>0.87980471013453421</v>
      </c>
      <c r="N143" s="73">
        <f t="shared" ca="1" si="3"/>
        <v>0.92572981348248307</v>
      </c>
      <c r="O143" s="73"/>
    </row>
    <row r="144" spans="1:15" ht="18" customHeight="1">
      <c r="I144" s="43"/>
      <c r="K144" s="69" t="s">
        <v>274</v>
      </c>
      <c r="L144" s="73">
        <f ca="1">IFERROR(L142/L$140,"")</f>
        <v>0.14074599798811666</v>
      </c>
      <c r="M144" s="73">
        <f t="shared" ca="1" si="3"/>
        <v>0.12019528986546571</v>
      </c>
      <c r="N144" s="73">
        <f t="shared" ca="1" si="3"/>
        <v>7.4270186517516948E-2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165</v>
      </c>
      <c r="C163" s="48">
        <v>6.9483381001152575E-2</v>
      </c>
      <c r="D163" s="48">
        <v>0.34559350168676062</v>
      </c>
      <c r="E163" s="48">
        <v>0.15069783442649354</v>
      </c>
      <c r="F163" s="44">
        <v>553960</v>
      </c>
      <c r="G163" s="44">
        <v>1</v>
      </c>
      <c r="H163" s="48" t="s">
        <v>165</v>
      </c>
      <c r="I163" s="48">
        <v>0.10630271607451314</v>
      </c>
      <c r="J163" s="48">
        <v>0.4844855130392835</v>
      </c>
      <c r="K163" s="48">
        <v>0.31564146929284337</v>
      </c>
      <c r="L163" s="44">
        <v>553960</v>
      </c>
      <c r="R163" s="21"/>
      <c r="S163" s="21"/>
    </row>
    <row r="164" spans="1:19" s="43" customFormat="1">
      <c r="A164" s="44">
        <v>2</v>
      </c>
      <c r="B164" s="48" t="s">
        <v>351</v>
      </c>
      <c r="C164" s="48">
        <v>0.34648332868909343</v>
      </c>
      <c r="D164" s="48">
        <v>0.27400313200771242</v>
      </c>
      <c r="E164" s="48">
        <v>0</v>
      </c>
      <c r="F164" s="44">
        <v>3689192</v>
      </c>
      <c r="G164" s="44">
        <v>2</v>
      </c>
      <c r="H164" s="48" t="s">
        <v>161</v>
      </c>
      <c r="I164" s="48">
        <v>0.74520953543326651</v>
      </c>
      <c r="J164" s="48">
        <v>0.1861493432137421</v>
      </c>
      <c r="K164" s="48">
        <v>0.47976342423758256</v>
      </c>
      <c r="L164" s="44">
        <v>12153634</v>
      </c>
      <c r="N164" s="43" t="s">
        <v>278</v>
      </c>
      <c r="R164" s="21"/>
      <c r="S164" s="21"/>
    </row>
    <row r="165" spans="1:19" s="43" customFormat="1">
      <c r="A165" s="44">
        <v>3</v>
      </c>
      <c r="B165" s="48" t="s">
        <v>161</v>
      </c>
      <c r="C165" s="48">
        <v>0.52098238751826031</v>
      </c>
      <c r="D165" s="48">
        <v>0.143808835939811</v>
      </c>
      <c r="E165" s="48">
        <v>0.67134312187016154</v>
      </c>
      <c r="F165" s="44">
        <v>12153634</v>
      </c>
      <c r="G165" s="44">
        <v>3</v>
      </c>
      <c r="H165" s="48" t="s">
        <v>294</v>
      </c>
      <c r="I165" s="48">
        <v>0</v>
      </c>
      <c r="J165" s="48">
        <v>0.11942901365146212</v>
      </c>
      <c r="K165" s="48">
        <v>3.0431200794890464E-2</v>
      </c>
      <c r="L165" s="44">
        <v>3050596</v>
      </c>
      <c r="N165" s="43" t="s">
        <v>279</v>
      </c>
      <c r="R165" s="21"/>
      <c r="S165" s="21"/>
    </row>
    <row r="166" spans="1:19" s="43" customFormat="1">
      <c r="A166" s="44">
        <v>4</v>
      </c>
      <c r="B166" s="48" t="s">
        <v>248</v>
      </c>
      <c r="C166" s="48">
        <v>0</v>
      </c>
      <c r="D166" s="48">
        <v>8.275925756193471E-2</v>
      </c>
      <c r="E166" s="48">
        <v>7.6558109395867407E-2</v>
      </c>
      <c r="F166" s="44">
        <v>1692097</v>
      </c>
      <c r="G166" s="44">
        <v>4</v>
      </c>
      <c r="H166" s="48" t="s">
        <v>248</v>
      </c>
      <c r="I166" s="48">
        <v>9.2262561153562839E-3</v>
      </c>
      <c r="J166" s="48">
        <v>9.511817254374566E-2</v>
      </c>
      <c r="K166" s="48">
        <v>6.3357810359674499E-2</v>
      </c>
      <c r="L166" s="44">
        <v>1692097</v>
      </c>
      <c r="R166" s="21"/>
      <c r="S166" s="21"/>
    </row>
    <row r="167" spans="1:19" s="43" customFormat="1">
      <c r="A167" s="44">
        <v>5</v>
      </c>
      <c r="B167" s="48" t="s">
        <v>352</v>
      </c>
      <c r="C167" s="48">
        <v>0</v>
      </c>
      <c r="D167" s="48">
        <v>4.3626098525185744E-2</v>
      </c>
      <c r="E167" s="48">
        <v>1.9967898442646445E-2</v>
      </c>
      <c r="F167" s="44">
        <v>11115023</v>
      </c>
      <c r="G167" s="44">
        <v>5</v>
      </c>
      <c r="H167" s="48" t="s">
        <v>351</v>
      </c>
      <c r="I167" s="48">
        <v>5.452167588108723E-2</v>
      </c>
      <c r="J167" s="48">
        <v>3.2801512401616294E-2</v>
      </c>
      <c r="K167" s="48">
        <v>0</v>
      </c>
      <c r="L167" s="44">
        <v>3689192</v>
      </c>
      <c r="R167" s="21"/>
      <c r="S167" s="21"/>
    </row>
    <row r="168" spans="1:19" s="43" customFormat="1">
      <c r="A168" s="44">
        <v>6</v>
      </c>
      <c r="B168" s="48" t="s">
        <v>353</v>
      </c>
      <c r="C168" s="48">
        <v>1.0634747282982358E-2</v>
      </c>
      <c r="D168" s="48">
        <v>0</v>
      </c>
      <c r="E168" s="48">
        <v>1.94977935601711E-2</v>
      </c>
      <c r="F168" s="44">
        <v>2480382</v>
      </c>
      <c r="G168" s="44">
        <v>6</v>
      </c>
      <c r="H168" s="48" t="s">
        <v>352</v>
      </c>
      <c r="I168" s="48">
        <v>0</v>
      </c>
      <c r="J168" s="48">
        <v>0</v>
      </c>
      <c r="K168" s="48">
        <v>1.8486186785978111E-2</v>
      </c>
      <c r="L168" s="44">
        <v>11115023</v>
      </c>
      <c r="R168" s="21"/>
      <c r="S168" s="21"/>
    </row>
    <row r="169" spans="1:19" s="43" customFormat="1">
      <c r="A169" s="44">
        <v>7</v>
      </c>
      <c r="B169" s="48" t="s">
        <v>354</v>
      </c>
      <c r="C169" s="48">
        <v>9.3981948117558781E-3</v>
      </c>
      <c r="D169" s="48">
        <v>0</v>
      </c>
      <c r="E169" s="48">
        <v>0</v>
      </c>
      <c r="F169" s="44">
        <v>7434864</v>
      </c>
      <c r="G169" s="44">
        <v>7</v>
      </c>
      <c r="H169" s="48" t="s">
        <v>355</v>
      </c>
      <c r="I169" s="48">
        <v>3.5749352727883828E-2</v>
      </c>
      <c r="J169" s="48">
        <v>0</v>
      </c>
      <c r="K169" s="48">
        <v>0</v>
      </c>
      <c r="L169" s="44">
        <v>8497745</v>
      </c>
      <c r="R169" s="21"/>
      <c r="S169" s="21"/>
    </row>
    <row r="170" spans="1:19" s="43" customFormat="1">
      <c r="A170" s="44">
        <v>8</v>
      </c>
      <c r="B170" s="48" t="s">
        <v>251</v>
      </c>
      <c r="C170" s="48">
        <v>4.3017960696755453E-2</v>
      </c>
      <c r="D170" s="48">
        <v>0.11020917427859556</v>
      </c>
      <c r="E170" s="48">
        <v>6.1935242304659965E-2</v>
      </c>
      <c r="F170" s="44">
        <v>5920853</v>
      </c>
      <c r="G170" s="44">
        <v>8</v>
      </c>
      <c r="H170" s="48" t="s">
        <v>251</v>
      </c>
      <c r="I170" s="48">
        <v>4.8990463767892956E-2</v>
      </c>
      <c r="J170" s="48">
        <v>8.2016445150150386E-2</v>
      </c>
      <c r="K170" s="48">
        <v>9.2319908529031047E-2</v>
      </c>
      <c r="L170" s="44">
        <v>5920853</v>
      </c>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2CDA521C-A25F-47F8-B88A-6FFC1C203B2A}">
      <formula1>$C$113:$C$114</formula1>
    </dataValidation>
  </dataValidations>
  <hyperlinks>
    <hyperlink ref="O1:P1" location="Home_page" display="Back to home page" xr:uid="{C5830A6C-37CE-4D26-83B6-A8CF87676374}"/>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374AE35-07A8-4496-8658-CFFFCA8457F2}">
          <x14:colorSeries rgb="FF323232"/>
          <x14:colorNegative rgb="FFD00000"/>
          <x14:colorAxis rgb="FF000000"/>
          <x14:colorMarkers rgb="FFD00000"/>
          <x14:colorFirst rgb="FFD00000"/>
          <x14:colorLast rgb="FFD00000"/>
          <x14:colorHigh rgb="FFD00000"/>
          <x14:colorLow rgb="FFD00000"/>
          <x14:sparklines>
            <x14:sparkline>
              <xm:f>'Gill netters'!D3:N3</xm:f>
              <xm:sqref>C3</xm:sqref>
            </x14:sparkline>
            <x14:sparkline>
              <xm:f>'Gill netters'!D4:N4</xm:f>
              <xm:sqref>C4</xm:sqref>
            </x14:sparkline>
            <x14:sparkline>
              <xm:f>'Gill netters'!D5:N5</xm:f>
              <xm:sqref>C5</xm:sqref>
            </x14:sparkline>
            <x14:sparkline>
              <xm:f>'Gill netters'!D6:N6</xm:f>
              <xm:sqref>C6</xm:sqref>
            </x14:sparkline>
            <x14:sparkline>
              <xm:f>'Gill netters'!D7:N7</xm:f>
              <xm:sqref>C7</xm:sqref>
            </x14:sparkline>
            <x14:sparkline>
              <xm:f>'Gill netters'!D8:N8</xm:f>
              <xm:sqref>C8</xm:sqref>
            </x14:sparkline>
            <x14:sparkline>
              <xm:f>'Gill netters'!D9:N9</xm:f>
              <xm:sqref>C9</xm:sqref>
            </x14:sparkline>
            <x14:sparkline>
              <xm:f>'Gill netters'!D10:N10</xm:f>
              <xm:sqref>C10</xm:sqref>
            </x14:sparkline>
            <x14:sparkline>
              <xm:f>'Gill netters'!D11:N11</xm:f>
              <xm:sqref>C11</xm:sqref>
            </x14:sparkline>
            <x14:sparkline>
              <xm:f>'Gill netters'!D12:N12</xm:f>
              <xm:sqref>C12</xm:sqref>
            </x14:sparkline>
            <x14:sparkline>
              <xm:f>'Gill netters'!D13:N13</xm:f>
              <xm:sqref>C13</xm:sqref>
            </x14:sparkline>
            <x14:sparkline>
              <xm:f>'Gill netters'!D14:N14</xm:f>
              <xm:sqref>C14</xm:sqref>
            </x14:sparkline>
            <x14:sparkline>
              <xm:f>'Gill netters'!D15:N15</xm:f>
              <xm:sqref>C15</xm:sqref>
            </x14:sparkline>
            <x14:sparkline>
              <xm:f>'Gill netters'!D16:N16</xm:f>
              <xm:sqref>C16</xm:sqref>
            </x14:sparkline>
            <x14:sparkline>
              <xm:f>'Gill netters'!D17:N17</xm:f>
              <xm:sqref>C17</xm:sqref>
            </x14:sparkline>
            <x14:sparkline>
              <xm:f>'Gill netters'!D18:N18</xm:f>
              <xm:sqref>C18</xm:sqref>
            </x14:sparkline>
            <x14:sparkline>
              <xm:f>'Gill netters'!D19:N19</xm:f>
              <xm:sqref>C19</xm:sqref>
            </x14:sparkline>
            <x14:sparkline>
              <xm:f>'Gill netters'!D20:N20</xm:f>
              <xm:sqref>C20</xm:sqref>
            </x14:sparkline>
            <x14:sparkline>
              <xm:f>'Gill netters'!D21:N21</xm:f>
              <xm:sqref>C21</xm:sqref>
            </x14:sparkline>
            <x14:sparkline>
              <xm:f>'Gill netters'!D22:N22</xm:f>
              <xm:sqref>C22</xm:sqref>
            </x14:sparkline>
            <x14:sparkline>
              <xm:f>'Gill netters'!D23:N23</xm:f>
              <xm:sqref>C23</xm:sqref>
            </x14:sparkline>
            <x14:sparkline>
              <xm:f>'Gill netters'!D24:N24</xm:f>
              <xm:sqref>C24</xm:sqref>
            </x14:sparkline>
            <x14:sparkline>
              <xm:f>'Gill netters'!D25:N25</xm:f>
              <xm:sqref>C25</xm:sqref>
            </x14:sparkline>
            <x14:sparkline>
              <xm:f>'Gill netters'!D26:N26</xm:f>
              <xm:sqref>C26</xm:sqref>
            </x14:sparkline>
            <x14:sparkline>
              <xm:f>'Gill netters'!D27:N27</xm:f>
              <xm:sqref>C27</xm:sqref>
            </x14:sparkline>
            <x14:sparkline>
              <xm:f>'Gill netters'!D28:N28</xm:f>
              <xm:sqref>C28</xm:sqref>
            </x14:sparkline>
            <x14:sparkline>
              <xm:f>'Gill netters'!D29:N29</xm:f>
              <xm:sqref>C29</xm:sqref>
            </x14:sparkline>
            <x14:sparkline>
              <xm:f>'Gill netters'!D30:N30</xm:f>
              <xm:sqref>C30</xm:sqref>
            </x14:sparkline>
            <x14:sparkline>
              <xm:f>'Gill netters'!D31:N31</xm:f>
              <xm:sqref>C31</xm:sqref>
            </x14:sparkline>
            <x14:sparkline>
              <xm:f>'Gill netters'!D32:N32</xm:f>
              <xm:sqref>C32</xm:sqref>
            </x14:sparkline>
            <x14:sparkline>
              <xm:f>'Gill netters'!D33:N33</xm:f>
              <xm:sqref>C33</xm:sqref>
            </x14:sparkline>
            <x14:sparkline>
              <xm:f>'Gill netters'!D34:N34</xm:f>
              <xm:sqref>C34</xm:sqref>
            </x14:sparkline>
            <x14:sparkline>
              <xm:f>'Gill netters'!D35:N35</xm:f>
              <xm:sqref>C35</xm:sqref>
            </x14:sparkline>
            <x14:sparkline>
              <xm:f>'Gill netters'!D36:N36</xm:f>
              <xm:sqref>C36</xm:sqref>
            </x14:sparkline>
            <x14:sparkline>
              <xm:f>'Gill netters'!D37:N37</xm:f>
              <xm:sqref>C37</xm:sqref>
            </x14:sparkline>
            <x14:sparkline>
              <xm:f>'Gill netters'!D38:N38</xm:f>
              <xm:sqref>C38</xm:sqref>
            </x14:sparkline>
            <x14:sparkline>
              <xm:f>'Gill netters'!D39:N39</xm:f>
              <xm:sqref>C39</xm:sqref>
            </x14:sparkline>
            <x14:sparkline>
              <xm:f>'Gill netters'!D40:N40</xm:f>
              <xm:sqref>C40</xm:sqref>
            </x14:sparkline>
            <x14:sparkline>
              <xm:f>'Gill netters'!D41:N41</xm:f>
              <xm:sqref>C41</xm:sqref>
            </x14:sparkline>
            <x14:sparkline>
              <xm:f>'Gill netters'!D42:N42</xm:f>
              <xm:sqref>C42</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FE3A5-CF3C-4595-A381-ED18B4AF4F03}">
  <sheetPr codeName="Feuil13">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16</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25</v>
      </c>
      <c r="E3" s="28">
        <v>25</v>
      </c>
      <c r="F3" s="28">
        <v>27</v>
      </c>
      <c r="G3" s="28">
        <v>23</v>
      </c>
      <c r="H3" s="28">
        <v>26</v>
      </c>
      <c r="I3" s="28">
        <v>28</v>
      </c>
      <c r="J3" s="28">
        <v>30</v>
      </c>
      <c r="K3" s="28">
        <v>31</v>
      </c>
      <c r="L3" s="28">
        <v>27</v>
      </c>
      <c r="M3" s="28">
        <v>26</v>
      </c>
      <c r="N3" s="28">
        <v>26</v>
      </c>
      <c r="O3" s="29">
        <f t="shared" ref="O3:O42" si="0">IF(N3=0,"",IFERROR(IF(AND(N3&gt;0,D3&lt;0),"na",IF(AND(N3&lt;0,D3&lt;0),-1,1)*(N3-D3)/D3),""))</f>
        <v>0.04</v>
      </c>
      <c r="P3" s="29">
        <f t="shared" ref="P3:P42" si="1">IF(N3=0,"",IFERROR(IF(AND(N3&gt;0,J3&lt;0),"na",IF(AND(N3&lt;0,J3&lt;0),-1,1)*(N3-J3)/J3),""))</f>
        <v>-0.13333333333333333</v>
      </c>
    </row>
    <row r="4" spans="1:17" ht="18" customHeight="1">
      <c r="A4" s="185"/>
      <c r="B4" s="30" t="s">
        <v>190</v>
      </c>
      <c r="C4" s="31"/>
      <c r="D4" s="31">
        <v>6819</v>
      </c>
      <c r="E4" s="31">
        <v>6770</v>
      </c>
      <c r="F4" s="31">
        <v>7894</v>
      </c>
      <c r="G4" s="31">
        <v>7783</v>
      </c>
      <c r="H4" s="31">
        <v>9180</v>
      </c>
      <c r="I4" s="31">
        <v>9568</v>
      </c>
      <c r="J4" s="31">
        <v>9579</v>
      </c>
      <c r="K4" s="31">
        <v>9520</v>
      </c>
      <c r="L4" s="31">
        <v>8332</v>
      </c>
      <c r="M4" s="31">
        <v>8176</v>
      </c>
      <c r="N4" s="31">
        <v>8190</v>
      </c>
      <c r="O4" s="29">
        <f t="shared" si="0"/>
        <v>0.20105587329520458</v>
      </c>
      <c r="P4" s="29">
        <f t="shared" si="1"/>
        <v>-0.14500469777638583</v>
      </c>
    </row>
    <row r="5" spans="1:17" ht="18" customHeight="1">
      <c r="A5" s="185"/>
      <c r="B5" s="30" t="s">
        <v>191</v>
      </c>
      <c r="C5" s="31"/>
      <c r="D5" s="31">
        <v>2608</v>
      </c>
      <c r="E5" s="31">
        <v>2387</v>
      </c>
      <c r="F5" s="31">
        <v>3071</v>
      </c>
      <c r="G5" s="31">
        <v>3013</v>
      </c>
      <c r="H5" s="31">
        <v>3503</v>
      </c>
      <c r="I5" s="31">
        <v>3525</v>
      </c>
      <c r="J5" s="31">
        <v>3830</v>
      </c>
      <c r="K5" s="31">
        <v>3654</v>
      </c>
      <c r="L5" s="31">
        <v>3659</v>
      </c>
      <c r="M5" s="31">
        <v>3403</v>
      </c>
      <c r="N5" s="31">
        <v>3413</v>
      </c>
      <c r="O5" s="29">
        <f t="shared" si="0"/>
        <v>0.30866564417177916</v>
      </c>
      <c r="P5" s="29">
        <f t="shared" si="1"/>
        <v>-0.10887728459530026</v>
      </c>
      <c r="Q5" s="32"/>
    </row>
    <row r="6" spans="1:17" ht="18" customHeight="1">
      <c r="A6" s="185"/>
      <c r="B6" s="30" t="s">
        <v>192</v>
      </c>
      <c r="C6" s="31"/>
      <c r="D6" s="31">
        <v>6046.2841796875</v>
      </c>
      <c r="E6" s="31">
        <v>5818.54248046875</v>
      </c>
      <c r="F6" s="31">
        <v>6875.6357421875</v>
      </c>
      <c r="G6" s="31">
        <v>6544.40869140625</v>
      </c>
      <c r="H6" s="31">
        <v>7697.81884765625</v>
      </c>
      <c r="I6" s="31">
        <v>7968.837890625</v>
      </c>
      <c r="J6" s="31">
        <v>8270.0146484375</v>
      </c>
      <c r="K6" s="31">
        <v>8126.2587890625</v>
      </c>
      <c r="L6" s="31">
        <v>7383.98876953125</v>
      </c>
      <c r="M6" s="31">
        <v>7150.71826171875</v>
      </c>
      <c r="N6" s="31">
        <v>7174.00390625</v>
      </c>
      <c r="O6" s="29">
        <f t="shared" si="0"/>
        <v>0.18651450925033858</v>
      </c>
      <c r="P6" s="29">
        <f t="shared" si="1"/>
        <v>-0.1325282709619596</v>
      </c>
    </row>
    <row r="7" spans="1:17" ht="18" customHeight="1">
      <c r="A7" s="185"/>
      <c r="B7" s="30" t="s">
        <v>193</v>
      </c>
      <c r="C7" s="31"/>
      <c r="D7" s="31">
        <v>5765.16943359375</v>
      </c>
      <c r="E7" s="31">
        <v>5824.91650390625</v>
      </c>
      <c r="F7" s="31">
        <v>7832.70361328125</v>
      </c>
      <c r="G7" s="31">
        <v>7854.80615234375</v>
      </c>
      <c r="H7" s="31">
        <v>9186.75</v>
      </c>
      <c r="I7" s="31">
        <v>8064.60498046875</v>
      </c>
      <c r="J7" s="31">
        <v>6210.29736328125</v>
      </c>
      <c r="K7" s="31">
        <v>5381.28369140625</v>
      </c>
      <c r="L7" s="31">
        <v>4017.47119140625</v>
      </c>
      <c r="M7" s="31">
        <v>4124.1298828125</v>
      </c>
      <c r="N7" s="31">
        <v>4825.46240234375</v>
      </c>
      <c r="O7" s="29">
        <f t="shared" si="0"/>
        <v>-0.16299729644966018</v>
      </c>
      <c r="P7" s="29">
        <f t="shared" si="1"/>
        <v>-0.22299012107301311</v>
      </c>
    </row>
    <row r="8" spans="1:17" ht="18" customHeight="1">
      <c r="A8" s="185"/>
      <c r="B8" s="30" t="s">
        <v>194</v>
      </c>
      <c r="C8" s="33"/>
      <c r="D8" s="33">
        <f ca="1">18.10948*OFFSET(D$113,MATCH($N$1,$C$113:$C$114,0)-1,0)</f>
        <v>18.109480000000001</v>
      </c>
      <c r="E8" s="33">
        <f ca="1">20.768002*OFFSET(E$113,MATCH($N$1,$C$113:$C$114,0)-1,0)</f>
        <v>20.768001999999999</v>
      </c>
      <c r="F8" s="33">
        <f ca="1">25.34054*OFFSET(F$113,MATCH($N$1,$C$113:$C$114,0)-1,0)</f>
        <v>25.340540000000001</v>
      </c>
      <c r="G8" s="33">
        <f ca="1">27.930412*OFFSET(G$113,MATCH($N$1,$C$113:$C$114,0)-1,0)</f>
        <v>27.930412</v>
      </c>
      <c r="H8" s="33">
        <f ca="1">29.626272*OFFSET(H$113,MATCH($N$1,$C$113:$C$114,0)-1,0)</f>
        <v>29.626272</v>
      </c>
      <c r="I8" s="33">
        <f ca="1">21.271792*OFFSET(I$113,MATCH($N$1,$C$113:$C$114,0)-1,0)</f>
        <v>21.271792000000001</v>
      </c>
      <c r="J8" s="33">
        <f ca="1">16.726214*OFFSET(J$113,MATCH($N$1,$C$113:$C$114,0)-1,0)</f>
        <v>16.726213999999999</v>
      </c>
      <c r="K8" s="33">
        <f ca="1">14.800857*OFFSET(K$113,MATCH($N$1,$C$113:$C$114,0)-1,0)</f>
        <v>14.800857000000001</v>
      </c>
      <c r="L8" s="33">
        <f ca="1">8.81099*OFFSET(L$113,MATCH($N$1,$C$113:$C$114,0)-1,0)</f>
        <v>8.8109900000000003</v>
      </c>
      <c r="M8" s="33">
        <f ca="1">9.563136*OFFSET(M$113,MATCH($N$1,$C$113:$C$114,0)-1,0)</f>
        <v>9.5631360000000001</v>
      </c>
      <c r="N8" s="33">
        <v>12.088915999999999</v>
      </c>
      <c r="O8" s="29">
        <f t="shared" ca="1" si="0"/>
        <v>-0.3324537203718716</v>
      </c>
      <c r="P8" s="29">
        <f t="shared" ca="1" si="1"/>
        <v>-0.27724731968633187</v>
      </c>
    </row>
    <row r="9" spans="1:17" ht="18" customHeight="1">
      <c r="A9" s="185"/>
      <c r="B9" s="30" t="s">
        <v>195</v>
      </c>
      <c r="C9" s="31"/>
      <c r="D9" s="31">
        <v>3611</v>
      </c>
      <c r="E9" s="31">
        <v>4128</v>
      </c>
      <c r="F9" s="31">
        <v>4121</v>
      </c>
      <c r="G9" s="31">
        <v>4077</v>
      </c>
      <c r="H9" s="31">
        <v>4711</v>
      </c>
      <c r="I9" s="31">
        <v>4935</v>
      </c>
      <c r="J9" s="31">
        <v>5408</v>
      </c>
      <c r="K9" s="31">
        <v>5032</v>
      </c>
      <c r="L9" s="31">
        <v>4127</v>
      </c>
      <c r="M9" s="31">
        <v>4114</v>
      </c>
      <c r="N9" s="31">
        <v>4301</v>
      </c>
      <c r="O9" s="29">
        <f t="shared" si="0"/>
        <v>0.19108280254777071</v>
      </c>
      <c r="P9" s="29">
        <f t="shared" si="1"/>
        <v>-0.20469674556213019</v>
      </c>
    </row>
    <row r="10" spans="1:17" ht="18" customHeight="1">
      <c r="A10" s="185"/>
      <c r="B10" s="30" t="s">
        <v>196</v>
      </c>
      <c r="C10" s="31"/>
      <c r="D10" s="31">
        <v>4430.9000000000005</v>
      </c>
      <c r="E10" s="31">
        <v>4888.3500000000004</v>
      </c>
      <c r="F10" s="31">
        <v>5286.6</v>
      </c>
      <c r="G10" s="31">
        <v>5320.25</v>
      </c>
      <c r="H10" s="31">
        <v>6169.85</v>
      </c>
      <c r="I10" s="31">
        <v>6536.5</v>
      </c>
      <c r="J10" s="31">
        <v>7136.45</v>
      </c>
      <c r="K10" s="31">
        <v>6637.2</v>
      </c>
      <c r="L10" s="31">
        <v>5678.8</v>
      </c>
      <c r="M10" s="31">
        <v>5275.85</v>
      </c>
      <c r="N10" s="31">
        <v>5777.1500000000005</v>
      </c>
      <c r="O10" s="29">
        <f t="shared" si="0"/>
        <v>0.30383217856417427</v>
      </c>
      <c r="P10" s="29">
        <f t="shared" si="1"/>
        <v>-0.19047285415017262</v>
      </c>
    </row>
    <row r="11" spans="1:17" ht="18" customHeight="1">
      <c r="A11" s="185"/>
      <c r="B11" s="30" t="s">
        <v>197</v>
      </c>
      <c r="C11" s="31"/>
      <c r="D11" s="31">
        <v>185.94039916992188</v>
      </c>
      <c r="E11" s="31">
        <v>168.16281127929688</v>
      </c>
      <c r="F11" s="31">
        <v>203.39291381835938</v>
      </c>
      <c r="G11" s="31">
        <v>221.63314819335938</v>
      </c>
      <c r="H11" s="31">
        <v>245.0252685546875</v>
      </c>
      <c r="I11" s="31">
        <v>262.75778198242188</v>
      </c>
      <c r="J11" s="31">
        <v>194.91807556152344</v>
      </c>
      <c r="K11" s="31">
        <v>278.88803100585938</v>
      </c>
      <c r="L11" s="31">
        <v>151.24371337890625</v>
      </c>
      <c r="M11" s="31">
        <v>153.13328552246094</v>
      </c>
      <c r="N11" s="31">
        <v>168.79701232910156</v>
      </c>
      <c r="O11" s="34">
        <f t="shared" si="0"/>
        <v>-9.2198289975455011E-2</v>
      </c>
      <c r="P11" s="34">
        <f t="shared" si="1"/>
        <v>-0.13401047161568702</v>
      </c>
    </row>
    <row r="12" spans="1:17" ht="18" customHeight="1">
      <c r="A12" s="186" t="s">
        <v>198</v>
      </c>
      <c r="B12" s="35" t="s">
        <v>199</v>
      </c>
      <c r="C12" s="36"/>
      <c r="D12" s="36">
        <v>19.11720085144043</v>
      </c>
      <c r="E12" s="36">
        <v>17.955999374389648</v>
      </c>
      <c r="F12" s="36">
        <v>19.497037887573242</v>
      </c>
      <c r="G12" s="36">
        <v>20.92173957824707</v>
      </c>
      <c r="H12" s="36">
        <v>21.491153717041016</v>
      </c>
      <c r="I12" s="36">
        <v>20.733928680419922</v>
      </c>
      <c r="J12" s="36">
        <v>20.861667633056641</v>
      </c>
      <c r="K12" s="36">
        <v>19.970321655273438</v>
      </c>
      <c r="L12" s="36">
        <v>20.883703231811523</v>
      </c>
      <c r="M12" s="36">
        <v>20.988462448120117</v>
      </c>
      <c r="N12" s="36">
        <v>21.015769958496094</v>
      </c>
      <c r="O12" s="29">
        <f t="shared" si="0"/>
        <v>9.9312086628655788E-2</v>
      </c>
      <c r="P12" s="29">
        <f t="shared" si="1"/>
        <v>7.3868651418484005E-3</v>
      </c>
    </row>
    <row r="13" spans="1:17" ht="18" customHeight="1">
      <c r="A13" s="187"/>
      <c r="B13" s="37" t="s">
        <v>190</v>
      </c>
      <c r="C13" s="31"/>
      <c r="D13" s="31">
        <v>272.760009765625</v>
      </c>
      <c r="E13" s="31">
        <v>270.79998779296875</v>
      </c>
      <c r="F13" s="31">
        <v>292.370361328125</v>
      </c>
      <c r="G13" s="31">
        <v>338.39129638671875</v>
      </c>
      <c r="H13" s="31">
        <v>353.07693481445313</v>
      </c>
      <c r="I13" s="31">
        <v>341.71429443359375</v>
      </c>
      <c r="J13" s="31">
        <v>319.29998779296875</v>
      </c>
      <c r="K13" s="31">
        <v>307.09677124023438</v>
      </c>
      <c r="L13" s="31">
        <v>308.59259033203125</v>
      </c>
      <c r="M13" s="31">
        <v>314.4615478515625</v>
      </c>
      <c r="N13" s="31">
        <v>315</v>
      </c>
      <c r="O13" s="29">
        <f t="shared" si="0"/>
        <v>0.15486137528250801</v>
      </c>
      <c r="P13" s="29">
        <f t="shared" si="1"/>
        <v>-1.3466921256999307E-2</v>
      </c>
    </row>
    <row r="14" spans="1:17" ht="18" customHeight="1">
      <c r="A14" s="187"/>
      <c r="B14" s="37" t="s">
        <v>191</v>
      </c>
      <c r="C14" s="31"/>
      <c r="D14" s="31">
        <v>104.31999969482422</v>
      </c>
      <c r="E14" s="31">
        <v>95.480003356933594</v>
      </c>
      <c r="F14" s="31">
        <v>113.74073791503906</v>
      </c>
      <c r="G14" s="31">
        <v>131</v>
      </c>
      <c r="H14" s="31">
        <v>134.73077392578125</v>
      </c>
      <c r="I14" s="31">
        <v>125.89286041259766</v>
      </c>
      <c r="J14" s="31">
        <v>127.66666412353516</v>
      </c>
      <c r="K14" s="31">
        <v>117.87096405029297</v>
      </c>
      <c r="L14" s="31">
        <v>135.51852416992188</v>
      </c>
      <c r="M14" s="31">
        <v>130.88461303710938</v>
      </c>
      <c r="N14" s="31">
        <v>131.26922607421875</v>
      </c>
      <c r="O14" s="29">
        <f t="shared" si="0"/>
        <v>0.25833230884040737</v>
      </c>
      <c r="P14" s="29">
        <f t="shared" si="1"/>
        <v>2.8218501481307733E-2</v>
      </c>
    </row>
    <row r="15" spans="1:17" ht="18" customHeight="1">
      <c r="A15" s="187"/>
      <c r="B15" s="37" t="s">
        <v>192</v>
      </c>
      <c r="C15" s="31"/>
      <c r="D15" s="31">
        <v>241.85137939453125</v>
      </c>
      <c r="E15" s="31">
        <v>232.74169921875</v>
      </c>
      <c r="F15" s="31">
        <v>254.65318298339844</v>
      </c>
      <c r="G15" s="31">
        <v>284.53952026367188</v>
      </c>
      <c r="H15" s="31">
        <v>296.0699462890625</v>
      </c>
      <c r="I15" s="31">
        <v>284.60134887695313</v>
      </c>
      <c r="J15" s="31">
        <v>275.66714477539063</v>
      </c>
      <c r="K15" s="31">
        <v>262.13739013671875</v>
      </c>
      <c r="L15" s="31">
        <v>273.4810791015625</v>
      </c>
      <c r="M15" s="31">
        <v>275.02761840820313</v>
      </c>
      <c r="N15" s="31">
        <v>275.92324829101563</v>
      </c>
      <c r="O15" s="29">
        <f t="shared" si="0"/>
        <v>0.14087936559130829</v>
      </c>
      <c r="P15" s="29">
        <f t="shared" si="1"/>
        <v>9.2903169811429367E-4</v>
      </c>
    </row>
    <row r="16" spans="1:17" ht="18" customHeight="1">
      <c r="A16" s="187"/>
      <c r="B16" s="37" t="s">
        <v>193</v>
      </c>
      <c r="C16" s="33"/>
      <c r="D16" s="33">
        <v>230.60678100585938</v>
      </c>
      <c r="E16" s="33">
        <v>232.99667358398438</v>
      </c>
      <c r="F16" s="33">
        <v>290.10012817382813</v>
      </c>
      <c r="G16" s="33">
        <v>341.5133056640625</v>
      </c>
      <c r="H16" s="33">
        <v>353.33651733398438</v>
      </c>
      <c r="I16" s="33">
        <v>288.0216064453125</v>
      </c>
      <c r="J16" s="33">
        <v>207.00991821289063</v>
      </c>
      <c r="K16" s="33">
        <v>173.58978271484375</v>
      </c>
      <c r="L16" s="33">
        <v>148.79522705078125</v>
      </c>
      <c r="M16" s="33">
        <v>158.62037658691406</v>
      </c>
      <c r="N16" s="33">
        <v>185.59471130371094</v>
      </c>
      <c r="O16" s="29">
        <f t="shared" si="0"/>
        <v>-0.19518970563577984</v>
      </c>
      <c r="P16" s="29">
        <f t="shared" si="1"/>
        <v>-0.10345014912356093</v>
      </c>
    </row>
    <row r="17" spans="1:16" ht="18" customHeight="1">
      <c r="A17" s="187"/>
      <c r="B17" s="37" t="s">
        <v>200</v>
      </c>
      <c r="C17" s="33"/>
      <c r="D17" s="33">
        <f ca="1">724.3791875*OFFSET(D$113,MATCH($N$1,$C$113:$C$114,0)-1,0)</f>
        <v>724.37918749999994</v>
      </c>
      <c r="E17" s="33">
        <f ca="1">830.7200625*OFFSET(E$113,MATCH($N$1,$C$113:$C$114,0)-1,0)</f>
        <v>830.72006250000004</v>
      </c>
      <c r="F17" s="33">
        <f ca="1">938.5385*OFFSET(F$113,MATCH($N$1,$C$113:$C$114,0)-1,0)</f>
        <v>938.5385</v>
      </c>
      <c r="G17" s="33">
        <f ca="1">1214.36575*OFFSET(G$113,MATCH($N$1,$C$113:$C$114,0)-1,0)</f>
        <v>1214.3657499999999</v>
      </c>
      <c r="H17" s="33">
        <f ca="1">1139.472*OFFSET(H$113,MATCH($N$1,$C$113:$C$114,0)-1,0)</f>
        <v>1139.472</v>
      </c>
      <c r="I17" s="33">
        <f ca="1">759.706875*OFFSET(I$113,MATCH($N$1,$C$113:$C$114,0)-1,0)</f>
        <v>759.70687499999997</v>
      </c>
      <c r="J17" s="33">
        <f ca="1">557.5405*OFFSET(J$113,MATCH($N$1,$C$113:$C$114,0)-1,0)</f>
        <v>557.54049999999995</v>
      </c>
      <c r="K17" s="33">
        <f ca="1">477.447*OFFSET(K$113,MATCH($N$1,$C$113:$C$114,0)-1,0)</f>
        <v>477.447</v>
      </c>
      <c r="L17" s="33">
        <f ca="1">326.33296875*OFFSET(L$113,MATCH($N$1,$C$113:$C$114,0)-1,0)</f>
        <v>326.33296875000002</v>
      </c>
      <c r="M17" s="33">
        <f ca="1">367.8129375*OFFSET(M$113,MATCH($N$1,$C$113:$C$114,0)-1,0)</f>
        <v>367.81293749999998</v>
      </c>
      <c r="N17" s="33">
        <v>464.95831250000003</v>
      </c>
      <c r="O17" s="29">
        <f t="shared" ca="1" si="0"/>
        <v>-0.35812855956742951</v>
      </c>
      <c r="P17" s="29">
        <f t="shared" ca="1" si="1"/>
        <v>-0.16605464087362251</v>
      </c>
    </row>
    <row r="18" spans="1:16" ht="18" customHeight="1">
      <c r="A18" s="187"/>
      <c r="B18" s="37" t="s">
        <v>195</v>
      </c>
      <c r="C18" s="31"/>
      <c r="D18" s="31">
        <v>144.44000244140625</v>
      </c>
      <c r="E18" s="31">
        <v>165.1199951171875</v>
      </c>
      <c r="F18" s="31">
        <v>152.62962341308594</v>
      </c>
      <c r="G18" s="31">
        <v>177.2608642578125</v>
      </c>
      <c r="H18" s="31">
        <v>181.19230651855469</v>
      </c>
      <c r="I18" s="31">
        <v>176.25</v>
      </c>
      <c r="J18" s="31">
        <v>180.26666259765625</v>
      </c>
      <c r="K18" s="31">
        <v>162.32258605957031</v>
      </c>
      <c r="L18" s="31">
        <v>152.85185241699219</v>
      </c>
      <c r="M18" s="31">
        <v>158.23077392578125</v>
      </c>
      <c r="N18" s="31">
        <v>165.42308044433594</v>
      </c>
      <c r="O18" s="29">
        <f t="shared" si="0"/>
        <v>0.14527193054736837</v>
      </c>
      <c r="P18" s="29">
        <f t="shared" si="1"/>
        <v>-8.234235847839623E-2</v>
      </c>
    </row>
    <row r="19" spans="1:16" ht="18" customHeight="1">
      <c r="A19" s="187"/>
      <c r="B19" s="37" t="s">
        <v>201</v>
      </c>
      <c r="C19" s="31"/>
      <c r="D19" s="31">
        <v>31.440000534057617</v>
      </c>
      <c r="E19" s="31">
        <v>30.879999160766602</v>
      </c>
      <c r="F19" s="31">
        <v>33.925926208496094</v>
      </c>
      <c r="G19" s="31">
        <v>34.434783935546875</v>
      </c>
      <c r="H19" s="31">
        <v>35.423076629638672</v>
      </c>
      <c r="I19" s="31">
        <v>35.535713195800781</v>
      </c>
      <c r="J19" s="31">
        <v>36.966667175292969</v>
      </c>
      <c r="K19" s="31">
        <v>37.903224945068359</v>
      </c>
      <c r="L19" s="31">
        <v>39.888889312744141</v>
      </c>
      <c r="M19" s="31">
        <v>40.846153259277344</v>
      </c>
      <c r="N19" s="31">
        <v>39.961540222167969</v>
      </c>
      <c r="O19" s="29">
        <f t="shared" si="0"/>
        <v>0.27104133407629333</v>
      </c>
      <c r="P19" s="29">
        <f t="shared" si="1"/>
        <v>8.1015500604194379E-2</v>
      </c>
    </row>
    <row r="20" spans="1:16" ht="18" customHeight="1">
      <c r="A20" s="187"/>
      <c r="B20" s="37" t="s">
        <v>202</v>
      </c>
      <c r="C20" s="38"/>
      <c r="D20" s="38">
        <v>1.5965576171875</v>
      </c>
      <c r="E20" s="38">
        <v>1.4110748767852783</v>
      </c>
      <c r="F20" s="38">
        <v>1.9006804227828979</v>
      </c>
      <c r="G20" s="38">
        <v>1.9266142845153809</v>
      </c>
      <c r="H20" s="38">
        <v>1.9500635862350464</v>
      </c>
      <c r="I20" s="38">
        <v>1.6341651678085327</v>
      </c>
      <c r="J20" s="38">
        <v>1.1483538150787354</v>
      </c>
      <c r="K20" s="38">
        <v>1.0694123506546021</v>
      </c>
      <c r="L20" s="38">
        <v>0.97346043586730957</v>
      </c>
      <c r="M20" s="38">
        <v>1.0024622678756714</v>
      </c>
      <c r="N20" s="38">
        <v>1.1219396591186523</v>
      </c>
      <c r="O20" s="29">
        <f t="shared" si="0"/>
        <v>-0.29727580950378468</v>
      </c>
      <c r="P20" s="29">
        <f t="shared" si="1"/>
        <v>-2.3001757483839556E-2</v>
      </c>
    </row>
    <row r="21" spans="1:16" ht="18" customHeight="1">
      <c r="A21" s="188"/>
      <c r="B21" s="39" t="s">
        <v>203</v>
      </c>
      <c r="C21" s="40"/>
      <c r="D21" s="40">
        <f ca="1">3141*OFFSET(D$113,MATCH($N$1,$C$113:$C$114,0)-1,0)</f>
        <v>3141</v>
      </c>
      <c r="E21" s="40">
        <f ca="1">3565*OFFSET(E$113,MATCH($N$1,$C$113:$C$114,0)-1,0)</f>
        <v>3565</v>
      </c>
      <c r="F21" s="40">
        <f ca="1">3235*OFFSET(F$113,MATCH($N$1,$C$113:$C$114,0)-1,0)</f>
        <v>3235</v>
      </c>
      <c r="G21" s="40">
        <f ca="1">3556*OFFSET(G$113,MATCH($N$1,$C$113:$C$114,0)-1,0)</f>
        <v>3556</v>
      </c>
      <c r="H21" s="40">
        <f ca="1">3225*OFFSET(H$113,MATCH($N$1,$C$113:$C$114,0)-1,0)</f>
        <v>3225</v>
      </c>
      <c r="I21" s="40">
        <f ca="1">2638*OFFSET(I$113,MATCH($N$1,$C$113:$C$114,0)-1,0)</f>
        <v>2638</v>
      </c>
      <c r="J21" s="40">
        <f ca="1">2693*OFFSET(J$113,MATCH($N$1,$C$113:$C$114,0)-1,0)</f>
        <v>2693</v>
      </c>
      <c r="K21" s="40">
        <f ca="1">2750*OFFSET(K$113,MATCH($N$1,$C$113:$C$114,0)-1,0)</f>
        <v>2750</v>
      </c>
      <c r="L21" s="40">
        <f ca="1">2193*OFFSET(L$113,MATCH($N$1,$C$113:$C$114,0)-1,0)</f>
        <v>2193</v>
      </c>
      <c r="M21" s="40">
        <f ca="1">2319*OFFSET(M$113,MATCH($N$1,$C$113:$C$114,0)-1,0)</f>
        <v>2319</v>
      </c>
      <c r="N21" s="40">
        <v>2505</v>
      </c>
      <c r="O21" s="34">
        <f t="shared" ca="1" si="0"/>
        <v>-0.20248328557784145</v>
      </c>
      <c r="P21" s="34">
        <f t="shared" ca="1" si="1"/>
        <v>-6.9810620126253248E-2</v>
      </c>
    </row>
    <row r="22" spans="1:16" ht="18" customHeight="1">
      <c r="A22" s="189" t="s">
        <v>204</v>
      </c>
      <c r="B22" s="35" t="s">
        <v>205</v>
      </c>
      <c r="C22" s="41"/>
      <c r="D22" s="41">
        <v>4.7045056482036358</v>
      </c>
      <c r="E22" s="41">
        <v>4.3728080618274978</v>
      </c>
      <c r="F22" s="41">
        <v>5.0876642892580186</v>
      </c>
      <c r="G22" s="41">
        <v>4.8498313991493598</v>
      </c>
      <c r="H22" s="41">
        <v>4.8639463318923015</v>
      </c>
      <c r="I22" s="41">
        <v>3.9822219426393071</v>
      </c>
      <c r="J22" s="41">
        <v>2.9088454515240354</v>
      </c>
      <c r="K22" s="41">
        <v>2.7202502329313405</v>
      </c>
      <c r="L22" s="41">
        <v>2.250566879775314</v>
      </c>
      <c r="M22" s="41">
        <v>2.6770711485786149</v>
      </c>
      <c r="N22" s="41">
        <v>2.8026613874842163</v>
      </c>
      <c r="O22" s="29">
        <f t="shared" si="0"/>
        <v>-0.40426017161773797</v>
      </c>
      <c r="P22" s="29">
        <f t="shared" si="1"/>
        <v>-3.6503852064119081E-2</v>
      </c>
    </row>
    <row r="23" spans="1:16" ht="18" customHeight="1">
      <c r="A23" s="189"/>
      <c r="B23" s="37" t="s">
        <v>206</v>
      </c>
      <c r="C23" s="38"/>
      <c r="D23" s="38">
        <f ca="1">14.7777353474628*OFFSET(D$113,MATCH($N$1,$C$113:$C$114,0)-1,0)</f>
        <v>14.7777353474628</v>
      </c>
      <c r="E23" s="38">
        <f ca="1">15.590692049569*OFFSET(E$113,MATCH($N$1,$C$113:$C$114,0)-1,0)</f>
        <v>15.590692049569</v>
      </c>
      <c r="F23" s="38">
        <f ca="1">16.4597266488715*OFFSET(F$113,MATCH($N$1,$C$113:$C$114,0)-1,0)</f>
        <v>16.459726648871499</v>
      </c>
      <c r="G23" s="38">
        <f ca="1">17.2452113774884*OFFSET(G$113,MATCH($N$1,$C$113:$C$114,0)-1,0)</f>
        <v>17.245211377488399</v>
      </c>
      <c r="H23" s="38">
        <f ca="1">15.685700126645*OFFSET(H$113,MATCH($N$1,$C$113:$C$114,0)-1,0)</f>
        <v>15.685700126644999</v>
      </c>
      <c r="I23" s="38">
        <f ca="1">10.503800131305*OFFSET(I$113,MATCH($N$1,$C$113:$C$114,0)-1,0)</f>
        <v>10.503800131305001</v>
      </c>
      <c r="J23" s="38">
        <f ca="1">7.83440311201691*OFFSET(J$113,MATCH($N$1,$C$113:$C$114,0)-1,0)</f>
        <v>7.8344031120169104</v>
      </c>
      <c r="K23" s="38">
        <f ca="1">7.48186496146418*OFFSET(K$113,MATCH($N$1,$C$113:$C$114,0)-1,0)</f>
        <v>7.4818649614641801</v>
      </c>
      <c r="L23" s="38">
        <f ca="1">4.93587184081417*OFFSET(L$113,MATCH($N$1,$C$113:$C$114,0)-1,0)</f>
        <v>4.93587184081417</v>
      </c>
      <c r="M23" s="38">
        <f ca="1">6.20766022778711*OFFSET(M$113,MATCH($N$1,$C$113:$C$114,0)-1,0)</f>
        <v>6.2076602277871098</v>
      </c>
      <c r="N23" s="38">
        <v>7.0213245845196353</v>
      </c>
      <c r="O23" s="29">
        <f t="shared" ca="1" si="0"/>
        <v>-0.5248714082753464</v>
      </c>
      <c r="P23" s="29">
        <f t="shared" ca="1" si="1"/>
        <v>-0.10378308543379944</v>
      </c>
    </row>
    <row r="24" spans="1:16" ht="18" customHeight="1">
      <c r="A24" s="189"/>
      <c r="B24" s="37" t="s">
        <v>153</v>
      </c>
      <c r="C24" s="38"/>
      <c r="D24" s="38">
        <f ca="1">16.1788545886898*OFFSET(D$113,MATCH($N$1,$C$113:$C$114,0)-1,0)</f>
        <v>16.178854588689799</v>
      </c>
      <c r="E24" s="38">
        <f ca="1">13.2562200945012*OFFSET(E$113,MATCH($N$1,$C$113:$C$114,0)-1,0)</f>
        <v>13.256220094501201</v>
      </c>
      <c r="F24" s="38">
        <f ca="1">13.7642144594071*OFFSET(F$113,MATCH($N$1,$C$113:$C$114,0)-1,0)</f>
        <v>13.7642144594071</v>
      </c>
      <c r="G24" s="38">
        <f ca="1">12.1853149385784*OFFSET(G$113,MATCH($N$1,$C$113:$C$114,0)-1,0)</f>
        <v>12.185314938578401</v>
      </c>
      <c r="H24" s="38">
        <f ca="1">11.0385403992039*OFFSET(H$113,MATCH($N$1,$C$113:$C$114,0)-1,0)</f>
        <v>11.0385403992039</v>
      </c>
      <c r="I24" s="38">
        <f ca="1">9.1906750326048*OFFSET(I$113,MATCH($N$1,$C$113:$C$114,0)-1,0)</f>
        <v>9.1906750326047995</v>
      </c>
      <c r="J24" s="38">
        <f ca="1">6.78977518139618*OFFSET(J$113,MATCH($N$1,$C$113:$C$114,0)-1,0)</f>
        <v>6.7897751813961804</v>
      </c>
      <c r="K24" s="38">
        <f ca="1">6.04062441331021*OFFSET(K$113,MATCH($N$1,$C$113:$C$114,0)-1,0)</f>
        <v>6.0406244133102103</v>
      </c>
      <c r="L24" s="38">
        <f ca="1">5.07755238178278*OFFSET(L$113,MATCH($N$1,$C$113:$C$114,0)-1,0)</f>
        <v>5.0775523817827803</v>
      </c>
      <c r="M24" s="38">
        <f ca="1">5.07520623172926*OFFSET(M$113,MATCH($N$1,$C$113:$C$114,0)-1,0)</f>
        <v>5.0752062317292603</v>
      </c>
      <c r="N24" s="38">
        <v>6.2415233823875189</v>
      </c>
      <c r="O24" s="29">
        <f t="shared" ca="1" si="0"/>
        <v>-0.61421722729674566</v>
      </c>
      <c r="P24" s="29">
        <f t="shared" ca="1" si="1"/>
        <v>-8.074667928782947E-2</v>
      </c>
    </row>
    <row r="25" spans="1:16" ht="18" customHeight="1">
      <c r="A25" s="189"/>
      <c r="B25" s="37" t="s">
        <v>154</v>
      </c>
      <c r="C25" s="38"/>
      <c r="D25" s="38">
        <f ca="1">-0.485354395840837*OFFSET(D$113,MATCH($N$1,$C$113:$C$114,0)-1,0)</f>
        <v>-0.48535439584083701</v>
      </c>
      <c r="E25" s="38">
        <f ca="1">2.93620218895715*OFFSET(E$113,MATCH($N$1,$C$113:$C$114,0)-1,0)</f>
        <v>2.9362021889571501</v>
      </c>
      <c r="F25" s="38">
        <f ca="1">2.83800450442674*OFFSET(F$113,MATCH($N$1,$C$113:$C$114,0)-1,0)</f>
        <v>2.8380045044267401</v>
      </c>
      <c r="G25" s="38">
        <f ca="1">5.09655173025905*OFFSET(G$113,MATCH($N$1,$C$113:$C$114,0)-1,0)</f>
        <v>5.0965517302590504</v>
      </c>
      <c r="H25" s="38">
        <f ca="1">4.68663490790705*OFFSET(H$113,MATCH($N$1,$C$113:$C$114,0)-1,0)</f>
        <v>4.6866349079070497</v>
      </c>
      <c r="I25" s="38">
        <f ca="1">1.39238913016192*OFFSET(I$113,MATCH($N$1,$C$113:$C$114,0)-1,0)</f>
        <v>1.39238913016192</v>
      </c>
      <c r="J25" s="38">
        <f ca="1">1.07043336932257*OFFSET(J$113,MATCH($N$1,$C$113:$C$114,0)-1,0)</f>
        <v>1.07043336932257</v>
      </c>
      <c r="K25" s="38">
        <f ca="1">1.57928128293459*OFFSET(K$113,MATCH($N$1,$C$113:$C$114,0)-1,0)</f>
        <v>1.5792812829345899</v>
      </c>
      <c r="L25" s="38">
        <f ca="1">0.0234400304165485*OFFSET(L$113,MATCH($N$1,$C$113:$C$114,0)-1,0)</f>
        <v>2.3440030416548501E-2</v>
      </c>
      <c r="M25" s="38">
        <f ca="1">1.24698560307123*OFFSET(M$113,MATCH($N$1,$C$113:$C$114,0)-1,0)</f>
        <v>1.2469856030712301</v>
      </c>
      <c r="N25" s="38">
        <v>0.90934494441129965</v>
      </c>
      <c r="O25" s="29" t="str">
        <f t="shared" ca="1" si="0"/>
        <v>na</v>
      </c>
      <c r="P25" s="29">
        <f t="shared" ca="1" si="1"/>
        <v>-0.15048897906949232</v>
      </c>
    </row>
    <row r="26" spans="1:16" ht="18" customHeight="1">
      <c r="A26" s="189"/>
      <c r="B26" s="37" t="s">
        <v>207</v>
      </c>
      <c r="C26" s="33"/>
      <c r="D26" s="33">
        <f ca="1">97.4*OFFSET(D$113,MATCH($N$1,$C$113:$C$114,0)-1,0)</f>
        <v>97.4</v>
      </c>
      <c r="E26" s="33">
        <f ca="1">123.5*OFFSET(E$113,MATCH($N$1,$C$113:$C$114,0)-1,0)</f>
        <v>123.5</v>
      </c>
      <c r="F26" s="33">
        <f ca="1">124.58*OFFSET(F$113,MATCH($N$1,$C$113:$C$114,0)-1,0)</f>
        <v>124.58</v>
      </c>
      <c r="G26" s="33">
        <f ca="1">126.02*OFFSET(G$113,MATCH($N$1,$C$113:$C$114,0)-1,0)</f>
        <v>126.02</v>
      </c>
      <c r="H26" s="33">
        <f ca="1">120.91*OFFSET(H$113,MATCH($N$1,$C$113:$C$114,0)-1,0)</f>
        <v>120.91</v>
      </c>
      <c r="I26" s="33">
        <f ca="1">80.96*OFFSET(I$113,MATCH($N$1,$C$113:$C$114,0)-1,0)</f>
        <v>80.959999999999994</v>
      </c>
      <c r="J26" s="33">
        <f ca="1">85.81*OFFSET(J$113,MATCH($N$1,$C$113:$C$114,0)-1,0)</f>
        <v>85.81</v>
      </c>
      <c r="K26" s="33">
        <f ca="1">53.07*OFFSET(K$113,MATCH($N$1,$C$113:$C$114,0)-1,0)</f>
        <v>53.07</v>
      </c>
      <c r="L26" s="33">
        <f ca="1">58.25*OFFSET(L$113,MATCH($N$1,$C$113:$C$114,0)-1,0)</f>
        <v>58.25</v>
      </c>
      <c r="M26" s="33">
        <f ca="1">62.45*OFFSET(M$113,MATCH($N$1,$C$113:$C$114,0)-1,0)</f>
        <v>62.45</v>
      </c>
      <c r="N26" s="33">
        <v>71.62</v>
      </c>
      <c r="O26" s="29">
        <f t="shared" ca="1" si="0"/>
        <v>-0.26468172484599589</v>
      </c>
      <c r="P26" s="29">
        <f t="shared" ca="1" si="1"/>
        <v>-0.16536534203472786</v>
      </c>
    </row>
    <row r="27" spans="1:16" ht="18" customHeight="1">
      <c r="A27" s="190"/>
      <c r="B27" s="37" t="s">
        <v>208</v>
      </c>
      <c r="C27" s="33"/>
      <c r="D27" s="33">
        <f ca="1">-3.2*OFFSET(D$113,MATCH($N$1,$C$113:$C$114,0)-1,0)</f>
        <v>-3.2</v>
      </c>
      <c r="E27" s="33">
        <f ca="1">23.25*OFFSET(E$113,MATCH($N$1,$C$113:$C$114,0)-1,0)</f>
        <v>23.25</v>
      </c>
      <c r="F27" s="33">
        <f ca="1">21.48*OFFSET(F$113,MATCH($N$1,$C$113:$C$114,0)-1,0)</f>
        <v>21.48</v>
      </c>
      <c r="G27" s="33">
        <f ca="1">37.24*OFFSET(G$113,MATCH($N$1,$C$113:$C$114,0)-1,0)</f>
        <v>37.24</v>
      </c>
      <c r="H27" s="33">
        <f ca="1">36.13*OFFSET(H$113,MATCH($N$1,$C$113:$C$114,0)-1,0)</f>
        <v>36.130000000000003</v>
      </c>
      <c r="I27" s="33">
        <f ca="1">10.73*OFFSET(I$113,MATCH($N$1,$C$113:$C$114,0)-1,0)</f>
        <v>10.73</v>
      </c>
      <c r="J27" s="33">
        <f ca="1">11.73*OFFSET(J$113,MATCH($N$1,$C$113:$C$114,0)-1,0)</f>
        <v>11.73</v>
      </c>
      <c r="K27" s="33">
        <f ca="1">11.2*OFFSET(K$113,MATCH($N$1,$C$113:$C$114,0)-1,0)</f>
        <v>11.2</v>
      </c>
      <c r="L27" s="33">
        <f ca="1">0.27*OFFSET(L$113,MATCH($N$1,$C$113:$C$114,0)-1,0)</f>
        <v>0.27</v>
      </c>
      <c r="M27" s="33">
        <f ca="1">12.55*OFFSET(M$113,MATCH($N$1,$C$113:$C$114,0)-1,0)</f>
        <v>12.55</v>
      </c>
      <c r="N27" s="33">
        <v>9.27</v>
      </c>
      <c r="O27" s="34" t="str">
        <f t="shared" ca="1" si="0"/>
        <v>na</v>
      </c>
      <c r="P27" s="34">
        <f t="shared" ca="1" si="1"/>
        <v>-0.2097186700767264</v>
      </c>
    </row>
    <row r="28" spans="1:16" s="78" customFormat="1" ht="18" customHeight="1">
      <c r="A28" s="191" t="s">
        <v>209</v>
      </c>
      <c r="B28" s="82" t="s">
        <v>200</v>
      </c>
      <c r="C28" s="83"/>
      <c r="D28" s="83">
        <f ca="1">724.4*OFFSET(D$113,MATCH($N$1,$C$113:$C$114,0)-1,0)</f>
        <v>724.4</v>
      </c>
      <c r="E28" s="83">
        <f ca="1">830.7*OFFSET(E$113,MATCH($N$1,$C$113:$C$114,0)-1,0)</f>
        <v>830.7</v>
      </c>
      <c r="F28" s="83">
        <f ca="1">938.5*OFFSET(F$113,MATCH($N$1,$C$113:$C$114,0)-1,0)</f>
        <v>938.5</v>
      </c>
      <c r="G28" s="83">
        <f ca="1">1214.4*OFFSET(G$113,MATCH($N$1,$C$113:$C$114,0)-1,0)</f>
        <v>1214.4000000000001</v>
      </c>
      <c r="H28" s="83">
        <f ca="1">1139.5*OFFSET(H$113,MATCH($N$1,$C$113:$C$114,0)-1,0)</f>
        <v>1139.5</v>
      </c>
      <c r="I28" s="83">
        <f ca="1">759.7*OFFSET(I$113,MATCH($N$1,$C$113:$C$114,0)-1,0)</f>
        <v>759.7</v>
      </c>
      <c r="J28" s="83">
        <f ca="1">557.5*OFFSET(J$113,MATCH($N$1,$C$113:$C$114,0)-1,0)</f>
        <v>557.5</v>
      </c>
      <c r="K28" s="83">
        <f ca="1">477.4*OFFSET(K$113,MATCH($N$1,$C$113:$C$114,0)-1,0)</f>
        <v>477.4</v>
      </c>
      <c r="L28" s="83">
        <f ca="1">326.3*OFFSET(L$113,MATCH($N$1,$C$113:$C$114,0)-1,0)</f>
        <v>326.3</v>
      </c>
      <c r="M28" s="83">
        <f ca="1">367.8*OFFSET(M$113,MATCH($N$1,$C$113:$C$114,0)-1,0)</f>
        <v>367.8</v>
      </c>
      <c r="N28" s="83">
        <v>465</v>
      </c>
      <c r="O28" s="84">
        <f t="shared" ca="1" si="0"/>
        <v>-0.35808945334069575</v>
      </c>
      <c r="P28" s="84">
        <f t="shared" ca="1" si="1"/>
        <v>-0.16591928251121077</v>
      </c>
    </row>
    <row r="29" spans="1:16" s="78" customFormat="1" ht="18" customHeight="1">
      <c r="A29" s="192"/>
      <c r="B29" s="85" t="s">
        <v>210</v>
      </c>
      <c r="C29" s="86"/>
      <c r="D29" s="86">
        <f ca="1">44.9*OFFSET(D$113,MATCH($N$1,$C$113:$C$114,0)-1,0)</f>
        <v>44.9</v>
      </c>
      <c r="E29" s="86">
        <f ca="1">32.1*OFFSET(E$113,MATCH($N$1,$C$113:$C$114,0)-1,0)</f>
        <v>32.1</v>
      </c>
      <c r="F29" s="86">
        <f ca="1">8.1*OFFSET(F$113,MATCH($N$1,$C$113:$C$114,0)-1,0)</f>
        <v>8.1</v>
      </c>
      <c r="G29" s="86">
        <f ca="1">2.6*OFFSET(G$113,MATCH($N$1,$C$113:$C$114,0)-1,0)</f>
        <v>2.6</v>
      </c>
      <c r="H29" s="86">
        <f ca="1">2.9*OFFSET(H$113,MATCH($N$1,$C$113:$C$114,0)-1,0)</f>
        <v>2.9</v>
      </c>
      <c r="I29" s="86">
        <f ca="1">5.7*OFFSET(I$113,MATCH($N$1,$C$113:$C$114,0)-1,0)</f>
        <v>5.7</v>
      </c>
      <c r="J29" s="86">
        <f ca="1">1.8*OFFSET(J$113,MATCH($N$1,$C$113:$C$114,0)-1,0)</f>
        <v>1.8</v>
      </c>
      <c r="K29" s="86">
        <f ca="1">8.8*OFFSET(K$113,MATCH($N$1,$C$113:$C$114,0)-1,0)</f>
        <v>8.8000000000000007</v>
      </c>
      <c r="L29" s="86">
        <f ca="1">10.9*OFFSET(L$113,MATCH($N$1,$C$113:$C$114,0)-1,0)</f>
        <v>10.9</v>
      </c>
      <c r="M29" s="86">
        <f ca="1">6.8*OFFSET(M$113,MATCH($N$1,$C$113:$C$114,0)-1,0)</f>
        <v>6.8</v>
      </c>
      <c r="N29" s="86">
        <v>8.6</v>
      </c>
      <c r="O29" s="84">
        <f t="shared" ca="1" si="0"/>
        <v>-0.80846325167037858</v>
      </c>
      <c r="P29" s="84">
        <f t="shared" ca="1" si="1"/>
        <v>3.7777777777777777</v>
      </c>
    </row>
    <row r="30" spans="1:16" s="78" customFormat="1" ht="18" customHeight="1">
      <c r="A30" s="192"/>
      <c r="B30" s="87" t="s">
        <v>211</v>
      </c>
      <c r="C30" s="88"/>
      <c r="D30" s="88">
        <f ca="1">769.3*OFFSET(D$113,MATCH($N$1,$C$113:$C$114,0)-1,0)</f>
        <v>769.3</v>
      </c>
      <c r="E30" s="88">
        <f ca="1">862.8*OFFSET(E$113,MATCH($N$1,$C$113:$C$114,0)-1,0)</f>
        <v>862.8</v>
      </c>
      <c r="F30" s="88">
        <f ca="1">946.7*OFFSET(F$113,MATCH($N$1,$C$113:$C$114,0)-1,0)</f>
        <v>946.7</v>
      </c>
      <c r="G30" s="88">
        <f ca="1">1216.9*OFFSET(G$113,MATCH($N$1,$C$113:$C$114,0)-1,0)</f>
        <v>1216.9000000000001</v>
      </c>
      <c r="H30" s="88">
        <f ca="1">1142.3*OFFSET(H$113,MATCH($N$1,$C$113:$C$114,0)-1,0)</f>
        <v>1142.3</v>
      </c>
      <c r="I30" s="88">
        <f ca="1">765.4*OFFSET(I$113,MATCH($N$1,$C$113:$C$114,0)-1,0)</f>
        <v>765.4</v>
      </c>
      <c r="J30" s="88">
        <f ca="1">559.4*OFFSET(J$113,MATCH($N$1,$C$113:$C$114,0)-1,0)</f>
        <v>559.4</v>
      </c>
      <c r="K30" s="88">
        <f ca="1">486.3*OFFSET(K$113,MATCH($N$1,$C$113:$C$114,0)-1,0)</f>
        <v>486.3</v>
      </c>
      <c r="L30" s="88">
        <f ca="1">337.2*OFFSET(L$113,MATCH($N$1,$C$113:$C$114,0)-1,0)</f>
        <v>337.2</v>
      </c>
      <c r="M30" s="88">
        <f ca="1">374.6*OFFSET(M$113,MATCH($N$1,$C$113:$C$114,0)-1,0)</f>
        <v>374.6</v>
      </c>
      <c r="N30" s="88">
        <v>473.5</v>
      </c>
      <c r="O30" s="84">
        <f t="shared" ca="1" si="0"/>
        <v>-0.38450539451449367</v>
      </c>
      <c r="P30" s="84">
        <f t="shared" ca="1" si="1"/>
        <v>-0.15355738291026097</v>
      </c>
    </row>
    <row r="31" spans="1:16" s="78" customFormat="1" ht="18" customHeight="1">
      <c r="A31" s="192"/>
      <c r="B31" s="85" t="s">
        <v>212</v>
      </c>
      <c r="C31" s="86"/>
      <c r="D31" s="86">
        <f ca="1">125.1*OFFSET(D$113,MATCH($N$1,$C$113:$C$114,0)-1,0)</f>
        <v>125.1</v>
      </c>
      <c r="E31" s="86">
        <f ca="1">132*OFFSET(E$113,MATCH($N$1,$C$113:$C$114,0)-1,0)</f>
        <v>132</v>
      </c>
      <c r="F31" s="86">
        <f ca="1">118.8*OFFSET(F$113,MATCH($N$1,$C$113:$C$114,0)-1,0)</f>
        <v>118.8</v>
      </c>
      <c r="G31" s="86">
        <f ca="1">97*OFFSET(G$113,MATCH($N$1,$C$113:$C$114,0)-1,0)</f>
        <v>97</v>
      </c>
      <c r="H31" s="86">
        <f ca="1">95.4*OFFSET(H$113,MATCH($N$1,$C$113:$C$114,0)-1,0)</f>
        <v>95.4</v>
      </c>
      <c r="I31" s="86">
        <f ca="1">112.6*OFFSET(I$113,MATCH($N$1,$C$113:$C$114,0)-1,0)</f>
        <v>112.6</v>
      </c>
      <c r="J31" s="86">
        <f ca="1">136.2*OFFSET(J$113,MATCH($N$1,$C$113:$C$114,0)-1,0)</f>
        <v>136.19999999999999</v>
      </c>
      <c r="K31" s="86">
        <f ca="1">117.5*OFFSET(K$113,MATCH($N$1,$C$113:$C$114,0)-1,0)</f>
        <v>117.5</v>
      </c>
      <c r="L31" s="86">
        <f ca="1">81.9*OFFSET(L$113,MATCH($N$1,$C$113:$C$114,0)-1,0)</f>
        <v>81.900000000000006</v>
      </c>
      <c r="M31" s="86">
        <f ca="1">97.3*OFFSET(M$113,MATCH($N$1,$C$113:$C$114,0)-1,0)</f>
        <v>97.3</v>
      </c>
      <c r="N31" s="86">
        <v>183.1</v>
      </c>
      <c r="O31" s="84">
        <f t="shared" ca="1" si="0"/>
        <v>0.46362909672262193</v>
      </c>
      <c r="P31" s="84">
        <f t="shared" ca="1" si="1"/>
        <v>0.34434654919236424</v>
      </c>
    </row>
    <row r="32" spans="1:16" s="78" customFormat="1" ht="18" customHeight="1">
      <c r="A32" s="192"/>
      <c r="B32" s="85" t="s">
        <v>213</v>
      </c>
      <c r="C32" s="86"/>
      <c r="D32" s="86">
        <f ca="1">291.1*OFFSET(D$113,MATCH($N$1,$C$113:$C$114,0)-1,0)</f>
        <v>291.10000000000002</v>
      </c>
      <c r="E32" s="86">
        <f ca="1">176.3*OFFSET(E$113,MATCH($N$1,$C$113:$C$114,0)-1,0)</f>
        <v>176.3</v>
      </c>
      <c r="F32" s="86">
        <f ca="1">199.6*OFFSET(F$113,MATCH($N$1,$C$113:$C$114,0)-1,0)</f>
        <v>199.6</v>
      </c>
      <c r="G32" s="86">
        <f ca="1">147.8*OFFSET(G$113,MATCH($N$1,$C$113:$C$114,0)-1,0)</f>
        <v>147.80000000000001</v>
      </c>
      <c r="H32" s="86">
        <f ca="1">129.4*OFFSET(H$113,MATCH($N$1,$C$113:$C$114,0)-1,0)</f>
        <v>129.4</v>
      </c>
      <c r="I32" s="86">
        <f ca="1">89.6*OFFSET(I$113,MATCH($N$1,$C$113:$C$114,0)-1,0)</f>
        <v>89.6</v>
      </c>
      <c r="J32" s="86">
        <f ca="1">139.2*OFFSET(J$113,MATCH($N$1,$C$113:$C$114,0)-1,0)</f>
        <v>139.19999999999999</v>
      </c>
      <c r="K32" s="86">
        <f ca="1">146.8*OFFSET(K$113,MATCH($N$1,$C$113:$C$114,0)-1,0)</f>
        <v>146.80000000000001</v>
      </c>
      <c r="L32" s="86">
        <f ca="1">105.7*OFFSET(L$113,MATCH($N$1,$C$113:$C$114,0)-1,0)</f>
        <v>105.7</v>
      </c>
      <c r="M32" s="86">
        <f ca="1">110*OFFSET(M$113,MATCH($N$1,$C$113:$C$114,0)-1,0)</f>
        <v>110</v>
      </c>
      <c r="N32" s="86">
        <v>112.3</v>
      </c>
      <c r="O32" s="84">
        <f t="shared" ca="1" si="0"/>
        <v>-0.61422191686705596</v>
      </c>
      <c r="P32" s="84">
        <f t="shared" ca="1" si="1"/>
        <v>-0.19324712643678157</v>
      </c>
    </row>
    <row r="33" spans="1:16" s="78" customFormat="1" ht="18" customHeight="1">
      <c r="A33" s="192"/>
      <c r="B33" s="85" t="s">
        <v>214</v>
      </c>
      <c r="C33" s="86"/>
      <c r="D33" s="86">
        <f ca="1">174.4*OFFSET(D$113,MATCH($N$1,$C$113:$C$114,0)-1,0)</f>
        <v>174.4</v>
      </c>
      <c r="E33" s="86">
        <f ca="1">104.9*OFFSET(E$113,MATCH($N$1,$C$113:$C$114,0)-1,0)</f>
        <v>104.9</v>
      </c>
      <c r="F33" s="86">
        <f ca="1">90*OFFSET(F$113,MATCH($N$1,$C$113:$C$114,0)-1,0)</f>
        <v>90</v>
      </c>
      <c r="G33" s="86">
        <f ca="1">469.2*OFFSET(G$113,MATCH($N$1,$C$113:$C$114,0)-1,0)</f>
        <v>469.2</v>
      </c>
      <c r="H33" s="86">
        <f ca="1">453.7*OFFSET(H$113,MATCH($N$1,$C$113:$C$114,0)-1,0)</f>
        <v>453.7</v>
      </c>
      <c r="I33" s="86">
        <f ca="1">333.1*OFFSET(I$113,MATCH($N$1,$C$113:$C$114,0)-1,0)</f>
        <v>333.1</v>
      </c>
      <c r="J33" s="86">
        <f ca="1">94.5*OFFSET(J$113,MATCH($N$1,$C$113:$C$114,0)-1,0)</f>
        <v>94.5</v>
      </c>
      <c r="K33" s="86">
        <f ca="1">31.6*OFFSET(K$113,MATCH($N$1,$C$113:$C$114,0)-1,0)</f>
        <v>31.6</v>
      </c>
      <c r="L33" s="86">
        <f ca="1">31.4*OFFSET(L$113,MATCH($N$1,$C$113:$C$114,0)-1,0)</f>
        <v>31.4</v>
      </c>
      <c r="M33" s="86">
        <f ca="1">24.4*OFFSET(M$113,MATCH($N$1,$C$113:$C$114,0)-1,0)</f>
        <v>24.4</v>
      </c>
      <c r="N33" s="86">
        <v>30.8</v>
      </c>
      <c r="O33" s="84">
        <f t="shared" ca="1" si="0"/>
        <v>-0.82339449541284393</v>
      </c>
      <c r="P33" s="84">
        <f t="shared" ca="1" si="1"/>
        <v>-0.67407407407407416</v>
      </c>
    </row>
    <row r="34" spans="1:16" s="78" customFormat="1" ht="18" customHeight="1">
      <c r="A34" s="192"/>
      <c r="B34" s="85" t="s">
        <v>215</v>
      </c>
      <c r="C34" s="86"/>
      <c r="D34" s="86">
        <f ca="1">590.6*OFFSET(D$113,MATCH($N$1,$C$113:$C$114,0)-1,0)</f>
        <v>590.6</v>
      </c>
      <c r="E34" s="86">
        <f ca="1">413.1*OFFSET(E$113,MATCH($N$1,$C$113:$C$114,0)-1,0)</f>
        <v>413.1</v>
      </c>
      <c r="F34" s="86">
        <f ca="1">408.5*OFFSET(F$113,MATCH($N$1,$C$113:$C$114,0)-1,0)</f>
        <v>408.5</v>
      </c>
      <c r="G34" s="86">
        <f ca="1">713.9*OFFSET(G$113,MATCH($N$1,$C$113:$C$114,0)-1,0)</f>
        <v>713.9</v>
      </c>
      <c r="H34" s="86">
        <f ca="1">678.5*OFFSET(H$113,MATCH($N$1,$C$113:$C$114,0)-1,0)</f>
        <v>678.5</v>
      </c>
      <c r="I34" s="86">
        <f ca="1">535.3*OFFSET(I$113,MATCH($N$1,$C$113:$C$114,0)-1,0)</f>
        <v>535.29999999999995</v>
      </c>
      <c r="J34" s="86">
        <f ca="1">369.9*OFFSET(J$113,MATCH($N$1,$C$113:$C$114,0)-1,0)</f>
        <v>369.9</v>
      </c>
      <c r="K34" s="86">
        <f ca="1">295.9*OFFSET(K$113,MATCH($N$1,$C$113:$C$114,0)-1,0)</f>
        <v>295.89999999999998</v>
      </c>
      <c r="L34" s="86">
        <f ca="1">219*OFFSET(L$113,MATCH($N$1,$C$113:$C$114,0)-1,0)</f>
        <v>219</v>
      </c>
      <c r="M34" s="86">
        <f ca="1">231.7*OFFSET(M$113,MATCH($N$1,$C$113:$C$114,0)-1,0)</f>
        <v>231.7</v>
      </c>
      <c r="N34" s="86">
        <v>326.10000000000002</v>
      </c>
      <c r="O34" s="84">
        <f t="shared" ca="1" si="0"/>
        <v>-0.44784964442939384</v>
      </c>
      <c r="P34" s="84">
        <f t="shared" ca="1" si="1"/>
        <v>-0.1184103811841037</v>
      </c>
    </row>
    <row r="35" spans="1:16" s="78" customFormat="1" ht="18" customHeight="1">
      <c r="A35" s="192"/>
      <c r="B35" s="85" t="s">
        <v>216</v>
      </c>
      <c r="C35" s="86"/>
      <c r="D35" s="86">
        <f ca="1">202.5*OFFSET(D$113,MATCH($N$1,$C$113:$C$114,0)-1,0)</f>
        <v>202.5</v>
      </c>
      <c r="E35" s="86">
        <f ca="1">293.2*OFFSET(E$113,MATCH($N$1,$C$113:$C$114,0)-1,0)</f>
        <v>293.2</v>
      </c>
      <c r="F35" s="86">
        <f ca="1">376.3*OFFSET(F$113,MATCH($N$1,$C$113:$C$114,0)-1,0)</f>
        <v>376.3</v>
      </c>
      <c r="G35" s="86">
        <f ca="1">144.1*OFFSET(G$113,MATCH($N$1,$C$113:$C$114,0)-1,0)</f>
        <v>144.1</v>
      </c>
      <c r="H35" s="86">
        <f ca="1">123.4*OFFSET(H$113,MATCH($N$1,$C$113:$C$114,0)-1,0)</f>
        <v>123.4</v>
      </c>
      <c r="I35" s="86">
        <f ca="1">129.4*OFFSET(I$113,MATCH($N$1,$C$113:$C$114,0)-1,0)</f>
        <v>129.4</v>
      </c>
      <c r="J35" s="86">
        <f ca="1">113.3*OFFSET(J$113,MATCH($N$1,$C$113:$C$114,0)-1,0)</f>
        <v>113.3</v>
      </c>
      <c r="K35" s="86">
        <f ca="1">89.6*OFFSET(K$113,MATCH($N$1,$C$113:$C$114,0)-1,0)</f>
        <v>89.6</v>
      </c>
      <c r="L35" s="86">
        <f ca="1">116.7*OFFSET(L$113,MATCH($N$1,$C$113:$C$114,0)-1,0)</f>
        <v>116.7</v>
      </c>
      <c r="M35" s="86">
        <f ca="1">69*OFFSET(M$113,MATCH($N$1,$C$113:$C$114,0)-1,0)</f>
        <v>69</v>
      </c>
      <c r="N35" s="86">
        <v>87.2</v>
      </c>
      <c r="O35" s="84">
        <f t="shared" ca="1" si="0"/>
        <v>-0.56938271604938273</v>
      </c>
      <c r="P35" s="84">
        <f t="shared" ca="1" si="1"/>
        <v>-0.23036187113857012</v>
      </c>
    </row>
    <row r="36" spans="1:16" s="78" customFormat="1" ht="18" customHeight="1">
      <c r="A36" s="192"/>
      <c r="B36" s="85" t="s">
        <v>217</v>
      </c>
      <c r="C36" s="86"/>
      <c r="D36" s="86">
        <f ca="1">793.1*OFFSET(D$113,MATCH($N$1,$C$113:$C$114,0)-1,0)</f>
        <v>793.1</v>
      </c>
      <c r="E36" s="86">
        <f ca="1">706.3*OFFSET(E$113,MATCH($N$1,$C$113:$C$114,0)-1,0)</f>
        <v>706.3</v>
      </c>
      <c r="F36" s="86">
        <f ca="1">784.8*OFFSET(F$113,MATCH($N$1,$C$113:$C$114,0)-1,0)</f>
        <v>784.8</v>
      </c>
      <c r="G36" s="86">
        <f ca="1">858.1*OFFSET(G$113,MATCH($N$1,$C$113:$C$114,0)-1,0)</f>
        <v>858.1</v>
      </c>
      <c r="H36" s="86">
        <f ca="1">801.9*OFFSET(H$113,MATCH($N$1,$C$113:$C$114,0)-1,0)</f>
        <v>801.9</v>
      </c>
      <c r="I36" s="86">
        <f ca="1">664.7*OFFSET(I$113,MATCH($N$1,$C$113:$C$114,0)-1,0)</f>
        <v>664.7</v>
      </c>
      <c r="J36" s="86">
        <f ca="1">483.2*OFFSET(J$113,MATCH($N$1,$C$113:$C$114,0)-1,0)</f>
        <v>483.2</v>
      </c>
      <c r="K36" s="86">
        <f ca="1">385.5*OFFSET(K$113,MATCH($N$1,$C$113:$C$114,0)-1,0)</f>
        <v>385.5</v>
      </c>
      <c r="L36" s="86">
        <f ca="1">335.7*OFFSET(L$113,MATCH($N$1,$C$113:$C$114,0)-1,0)</f>
        <v>335.7</v>
      </c>
      <c r="M36" s="86">
        <f ca="1">300.7*OFFSET(M$113,MATCH($N$1,$C$113:$C$114,0)-1,0)</f>
        <v>300.7</v>
      </c>
      <c r="N36" s="86">
        <v>413.3</v>
      </c>
      <c r="O36" s="84">
        <f t="shared" ca="1" si="0"/>
        <v>-0.47888034295801285</v>
      </c>
      <c r="P36" s="84">
        <f t="shared" ca="1" si="1"/>
        <v>-0.14466059602649003</v>
      </c>
    </row>
    <row r="37" spans="1:16" s="78" customFormat="1" ht="18" customHeight="1">
      <c r="A37" s="192"/>
      <c r="B37" s="87" t="s">
        <v>218</v>
      </c>
      <c r="C37" s="88"/>
      <c r="D37" s="88">
        <f ca="1">267.3*OFFSET(D$113,MATCH($N$1,$C$113:$C$114,0)-1,0)</f>
        <v>267.3</v>
      </c>
      <c r="E37" s="88">
        <f ca="1">332.7*OFFSET(E$113,MATCH($N$1,$C$113:$C$114,0)-1,0)</f>
        <v>332.7</v>
      </c>
      <c r="F37" s="88">
        <f ca="1">361.4*OFFSET(F$113,MATCH($N$1,$C$113:$C$114,0)-1,0)</f>
        <v>361.4</v>
      </c>
      <c r="G37" s="88">
        <f ca="1">506.7*OFFSET(G$113,MATCH($N$1,$C$113:$C$114,0)-1,0)</f>
        <v>506.7</v>
      </c>
      <c r="H37" s="88">
        <f ca="1">469.9*OFFSET(H$113,MATCH($N$1,$C$113:$C$114,0)-1,0)</f>
        <v>469.9</v>
      </c>
      <c r="I37" s="88">
        <f ca="1">190.3*OFFSET(I$113,MATCH($N$1,$C$113:$C$114,0)-1,0)</f>
        <v>190.3</v>
      </c>
      <c r="J37" s="88">
        <f ca="1">215.4*OFFSET(J$113,MATCH($N$1,$C$113:$C$114,0)-1,0)</f>
        <v>215.4</v>
      </c>
      <c r="K37" s="88">
        <f ca="1">247.6*OFFSET(K$113,MATCH($N$1,$C$113:$C$114,0)-1,0)</f>
        <v>247.6</v>
      </c>
      <c r="L37" s="88">
        <f ca="1">107.2*OFFSET(L$113,MATCH($N$1,$C$113:$C$114,0)-1,0)</f>
        <v>107.2</v>
      </c>
      <c r="M37" s="88">
        <f ca="1">183.9*OFFSET(M$113,MATCH($N$1,$C$113:$C$114,0)-1,0)</f>
        <v>183.9</v>
      </c>
      <c r="N37" s="88">
        <v>172.5</v>
      </c>
      <c r="O37" s="84">
        <f t="shared" ca="1" si="0"/>
        <v>-0.35465768799102138</v>
      </c>
      <c r="P37" s="84">
        <f t="shared" ca="1" si="1"/>
        <v>-0.19916434540389974</v>
      </c>
    </row>
    <row r="38" spans="1:16" s="78" customFormat="1" ht="18" customHeight="1">
      <c r="A38" s="192"/>
      <c r="B38" s="87" t="s">
        <v>219</v>
      </c>
      <c r="C38" s="88"/>
      <c r="D38" s="88">
        <f ca="1">-23.8*OFFSET(D$113,MATCH($N$1,$C$113:$C$114,0)-1,0)</f>
        <v>-23.8</v>
      </c>
      <c r="E38" s="88">
        <f ca="1">156.4*OFFSET(E$113,MATCH($N$1,$C$113:$C$114,0)-1,0)</f>
        <v>156.4</v>
      </c>
      <c r="F38" s="88">
        <f ca="1">161.8*OFFSET(F$113,MATCH($N$1,$C$113:$C$114,0)-1,0)</f>
        <v>161.80000000000001</v>
      </c>
      <c r="G38" s="88">
        <f ca="1">358.9*OFFSET(G$113,MATCH($N$1,$C$113:$C$114,0)-1,0)</f>
        <v>358.9</v>
      </c>
      <c r="H38" s="88">
        <f ca="1">340.5*OFFSET(H$113,MATCH($N$1,$C$113:$C$114,0)-1,0)</f>
        <v>340.5</v>
      </c>
      <c r="I38" s="88">
        <f ca="1">100.7*OFFSET(I$113,MATCH($N$1,$C$113:$C$114,0)-1,0)</f>
        <v>100.7</v>
      </c>
      <c r="J38" s="88">
        <f ca="1">76.2*OFFSET(J$113,MATCH($N$1,$C$113:$C$114,0)-1,0)</f>
        <v>76.2</v>
      </c>
      <c r="K38" s="88">
        <f ca="1">100.8*OFFSET(K$113,MATCH($N$1,$C$113:$C$114,0)-1,0)</f>
        <v>100.8</v>
      </c>
      <c r="L38" s="88">
        <f ca="1">1.5*OFFSET(L$113,MATCH($N$1,$C$113:$C$114,0)-1,0)</f>
        <v>1.5</v>
      </c>
      <c r="M38" s="88">
        <f ca="1">73.9*OFFSET(M$113,MATCH($N$1,$C$113:$C$114,0)-1,0)</f>
        <v>73.900000000000006</v>
      </c>
      <c r="N38" s="88">
        <v>60.2</v>
      </c>
      <c r="O38" s="84" t="str">
        <f t="shared" ca="1" si="0"/>
        <v>na</v>
      </c>
      <c r="P38" s="84">
        <f t="shared" ca="1" si="1"/>
        <v>-0.20997375328083989</v>
      </c>
    </row>
    <row r="39" spans="1:16" s="78" customFormat="1" ht="18" customHeight="1">
      <c r="A39" s="192"/>
      <c r="B39" s="85" t="s">
        <v>220</v>
      </c>
      <c r="C39" s="86"/>
      <c r="D39" s="86">
        <f ca="1">6*OFFSET(D$113,MATCH($N$1,$C$113:$C$114,0)-1,0)</f>
        <v>6</v>
      </c>
      <c r="E39" s="86">
        <f ca="1">55*OFFSET(E$113,MATCH($N$1,$C$113:$C$114,0)-1,0)</f>
        <v>55</v>
      </c>
      <c r="F39" s="86">
        <f ca="1">57.2*OFFSET(F$113,MATCH($N$1,$C$113:$C$114,0)-1,0)</f>
        <v>57.2</v>
      </c>
      <c r="G39" s="86">
        <f ca="1">55.5*OFFSET(G$113,MATCH($N$1,$C$113:$C$114,0)-1,0)</f>
        <v>55.5</v>
      </c>
      <c r="H39" s="86">
        <f ca="1">48.9*OFFSET(H$113,MATCH($N$1,$C$113:$C$114,0)-1,0)</f>
        <v>48.9</v>
      </c>
      <c r="I39" s="86">
        <f ca="1">39.1*OFFSET(I$113,MATCH($N$1,$C$113:$C$114,0)-1,0)</f>
        <v>39.1</v>
      </c>
      <c r="J39" s="86">
        <f ca="1">33.8*OFFSET(J$113,MATCH($N$1,$C$113:$C$114,0)-1,0)</f>
        <v>33.799999999999997</v>
      </c>
      <c r="K39" s="86">
        <f ca="1">49.8*OFFSET(K$113,MATCH($N$1,$C$113:$C$114,0)-1,0)</f>
        <v>49.8</v>
      </c>
      <c r="L39" s="86">
        <f ca="1">50*OFFSET(L$113,MATCH($N$1,$C$113:$C$114,0)-1,0)</f>
        <v>50</v>
      </c>
      <c r="M39" s="86"/>
      <c r="N39" s="86"/>
      <c r="O39" s="84" t="str">
        <f t="shared" si="0"/>
        <v/>
      </c>
      <c r="P39" s="84" t="str">
        <f t="shared" si="1"/>
        <v/>
      </c>
    </row>
    <row r="40" spans="1:16" s="78" customFormat="1" ht="18" customHeight="1">
      <c r="A40" s="192"/>
      <c r="B40" s="85" t="s">
        <v>221</v>
      </c>
      <c r="C40" s="86"/>
      <c r="D40" s="86"/>
      <c r="E40" s="86">
        <f ca="1">3.9*OFFSET(E$113,MATCH($N$1,$C$113:$C$114,0)-1,0)</f>
        <v>3.9</v>
      </c>
      <c r="F40" s="86">
        <f ca="1">3.5*OFFSET(F$113,MATCH($N$1,$C$113:$C$114,0)-1,0)</f>
        <v>3.5</v>
      </c>
      <c r="G40" s="86">
        <f ca="1">3.6*OFFSET(G$113,MATCH($N$1,$C$113:$C$114,0)-1,0)</f>
        <v>3.6</v>
      </c>
      <c r="H40" s="86">
        <f ca="1">0.9*OFFSET(H$113,MATCH($N$1,$C$113:$C$114,0)-1,0)</f>
        <v>0.9</v>
      </c>
      <c r="I40" s="86">
        <f ca="1">1.1*OFFSET(I$113,MATCH($N$1,$C$113:$C$114,0)-1,0)</f>
        <v>1.1000000000000001</v>
      </c>
      <c r="J40" s="86">
        <f ca="1">1.6*OFFSET(J$113,MATCH($N$1,$C$113:$C$114,0)-1,0)</f>
        <v>1.6</v>
      </c>
      <c r="K40" s="86">
        <f ca="1">1*OFFSET(K$113,MATCH($N$1,$C$113:$C$114,0)-1,0)</f>
        <v>1</v>
      </c>
      <c r="L40" s="86">
        <f ca="1">4*OFFSET(L$113,MATCH($N$1,$C$113:$C$114,0)-1,0)</f>
        <v>4</v>
      </c>
      <c r="M40" s="86"/>
      <c r="N40" s="86"/>
      <c r="O40" s="84" t="str">
        <f t="shared" si="0"/>
        <v/>
      </c>
      <c r="P40" s="84" t="str">
        <f t="shared" si="1"/>
        <v/>
      </c>
    </row>
    <row r="41" spans="1:16" s="78" customFormat="1" ht="18" customHeight="1">
      <c r="A41" s="192"/>
      <c r="B41" s="85" t="s">
        <v>222</v>
      </c>
      <c r="C41" s="86"/>
      <c r="D41" s="86">
        <f ca="1">1.1*OFFSET(D$113,MATCH($N$1,$C$113:$C$114,0)-1,0)</f>
        <v>1.1000000000000001</v>
      </c>
      <c r="E41" s="86">
        <f ca="1">2.4*OFFSET(E$113,MATCH($N$1,$C$113:$C$114,0)-1,0)</f>
        <v>2.4</v>
      </c>
      <c r="F41" s="86">
        <f ca="1">2*OFFSET(F$113,MATCH($N$1,$C$113:$C$114,0)-1,0)</f>
        <v>2</v>
      </c>
      <c r="G41" s="86">
        <f ca="1">1.2*OFFSET(G$113,MATCH($N$1,$C$113:$C$114,0)-1,0)</f>
        <v>1.2</v>
      </c>
      <c r="H41" s="86">
        <f ca="1">3.1*OFFSET(H$113,MATCH($N$1,$C$113:$C$114,0)-1,0)</f>
        <v>3.1</v>
      </c>
      <c r="I41" s="86">
        <f ca="1">0.8*OFFSET(I$113,MATCH($N$1,$C$113:$C$114,0)-1,0)</f>
        <v>0.8</v>
      </c>
      <c r="J41" s="86">
        <f ca="1">0.4*OFFSET(J$113,MATCH($N$1,$C$113:$C$114,0)-1,0)</f>
        <v>0.4</v>
      </c>
      <c r="K41" s="86">
        <f ca="1">5.8*OFFSET(K$113,MATCH($N$1,$C$113:$C$114,0)-1,0)</f>
        <v>5.8</v>
      </c>
      <c r="L41" s="86">
        <f ca="1">1.8*OFFSET(L$113,MATCH($N$1,$C$113:$C$114,0)-1,0)</f>
        <v>1.8</v>
      </c>
      <c r="M41" s="86"/>
      <c r="N41" s="86"/>
      <c r="O41" s="84" t="str">
        <f t="shared" si="0"/>
        <v/>
      </c>
      <c r="P41" s="84" t="str">
        <f t="shared" si="1"/>
        <v/>
      </c>
    </row>
    <row r="42" spans="1:16" s="78" customFormat="1" ht="18" customHeight="1" thickBot="1">
      <c r="A42" s="193"/>
      <c r="B42" s="89" t="s">
        <v>223</v>
      </c>
      <c r="C42" s="90"/>
      <c r="D42" s="90">
        <f ca="1">-30.9*OFFSET(D$113,MATCH($N$1,$C$113:$C$114,0)-1,0)</f>
        <v>-30.9</v>
      </c>
      <c r="E42" s="90">
        <f ca="1">95.1*OFFSET(E$113,MATCH($N$1,$C$113:$C$114,0)-1,0)</f>
        <v>95.1</v>
      </c>
      <c r="F42" s="90">
        <f ca="1">99.1*OFFSET(F$113,MATCH($N$1,$C$113:$C$114,0)-1,0)</f>
        <v>99.1</v>
      </c>
      <c r="G42" s="90">
        <f ca="1">298.7*OFFSET(G$113,MATCH($N$1,$C$113:$C$114,0)-1,0)</f>
        <v>298.7</v>
      </c>
      <c r="H42" s="90">
        <f ca="1">287.5*OFFSET(H$113,MATCH($N$1,$C$113:$C$114,0)-1,0)</f>
        <v>287.5</v>
      </c>
      <c r="I42" s="90">
        <f ca="1">59.7*OFFSET(I$113,MATCH($N$1,$C$113:$C$114,0)-1,0)</f>
        <v>59.7</v>
      </c>
      <c r="J42" s="90">
        <f ca="1">40.4*OFFSET(J$113,MATCH($N$1,$C$113:$C$114,0)-1,0)</f>
        <v>40.4</v>
      </c>
      <c r="K42" s="90">
        <f ca="1">44.2*OFFSET(K$113,MATCH($N$1,$C$113:$C$114,0)-1,0)</f>
        <v>44.2</v>
      </c>
      <c r="L42" s="90">
        <f ca="1">-54.3*OFFSET(L$113,MATCH($N$1,$C$113:$C$114,0)-1,0)</f>
        <v>-54.3</v>
      </c>
      <c r="M42" s="90"/>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157</v>
      </c>
      <c r="G47" s="99" t="s">
        <v>158</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Longliners</v>
      </c>
      <c r="C49" s="101"/>
      <c r="D49" s="101"/>
      <c r="E49" s="101"/>
      <c r="F49" s="101"/>
      <c r="G49" s="101"/>
      <c r="K49" s="101" t="str">
        <f>$B25&amp;CHAR(10)&amp;$A$1</f>
        <v>Operating profit per kW day at sea (£)
Longliners</v>
      </c>
    </row>
    <row r="50" spans="1:11" s="78" customFormat="1">
      <c r="A50" s="101" t="str">
        <f>$B23&amp;CHAR(10)&amp;$A$1</f>
        <v>Fishing income per kW day at sea (£)
Longliners</v>
      </c>
    </row>
    <row r="51" spans="1:11" s="78" customFormat="1">
      <c r="A51" s="101" t="str">
        <f>$B21&amp;CHAR(10)&amp;$A$1</f>
        <v>Average price per tonne landed (£)
Longliners</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Longliners</v>
      </c>
      <c r="F63" s="101" t="str">
        <f>$B21&amp;CHAR(10)&amp;$A$1</f>
        <v>Average price per tonne landed (£)
Longliners</v>
      </c>
      <c r="K63" s="101" t="str">
        <f>"Average annual operating profit per vessel (£'000)"&amp;CHAR(10)&amp;$A$1</f>
        <v>Average annual operating profit per vessel (£'000)
Longliners</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Longliners</v>
      </c>
      <c r="F77" s="101" t="str">
        <f>"Top 5 landed species by value in "&amp;A78&amp;CHAR(10)&amp;A1</f>
        <v>Top 5 landed species by value in 2021
Longliners</v>
      </c>
    </row>
    <row r="78" spans="1:11" s="101" customFormat="1">
      <c r="A78" s="101">
        <v>2021</v>
      </c>
      <c r="B78" s="101" t="s">
        <v>356</v>
      </c>
      <c r="C78" s="102">
        <v>0.42538071477672018</v>
      </c>
      <c r="D78" s="103">
        <v>12153634</v>
      </c>
      <c r="G78" s="101" t="s">
        <v>357</v>
      </c>
      <c r="H78" s="102">
        <v>0.41617946608046552</v>
      </c>
      <c r="I78" s="103">
        <v>12153634</v>
      </c>
      <c r="K78" s="101" t="s">
        <v>237</v>
      </c>
    </row>
    <row r="79" spans="1:11" s="101" customFormat="1">
      <c r="B79" s="101" t="s">
        <v>358</v>
      </c>
      <c r="C79" s="102">
        <v>0.35349247438320913</v>
      </c>
      <c r="D79" s="103">
        <v>3050596</v>
      </c>
      <c r="G79" s="101" t="s">
        <v>359</v>
      </c>
      <c r="H79" s="102">
        <v>0.31092837014013708</v>
      </c>
      <c r="I79" s="103">
        <v>553960</v>
      </c>
    </row>
    <row r="80" spans="1:11" s="101" customFormat="1">
      <c r="B80" s="101" t="s">
        <v>360</v>
      </c>
      <c r="C80" s="102">
        <v>8.8640227791894552E-2</v>
      </c>
      <c r="D80" s="103">
        <v>553960</v>
      </c>
      <c r="G80" s="101" t="s">
        <v>361</v>
      </c>
      <c r="H80" s="102">
        <v>0.17630816406862984</v>
      </c>
      <c r="I80" s="103">
        <v>3050596</v>
      </c>
    </row>
    <row r="81" spans="1:19" s="101" customFormat="1">
      <c r="B81" s="101" t="s">
        <v>362</v>
      </c>
      <c r="C81" s="102">
        <v>5.0330862582519183E-2</v>
      </c>
      <c r="D81" s="103">
        <v>3689192</v>
      </c>
      <c r="G81" s="101" t="s">
        <v>363</v>
      </c>
      <c r="H81" s="102">
        <v>5.590177548267309E-2</v>
      </c>
      <c r="I81" s="103">
        <v>1692097</v>
      </c>
    </row>
    <row r="82" spans="1:19" s="101" customFormat="1">
      <c r="B82" s="101" t="s">
        <v>364</v>
      </c>
      <c r="C82" s="102">
        <v>4.4088838045619944E-2</v>
      </c>
      <c r="D82" s="103">
        <v>1692097</v>
      </c>
      <c r="G82" s="101" t="s">
        <v>365</v>
      </c>
      <c r="H82" s="102">
        <v>1.5985675137923865E-2</v>
      </c>
      <c r="I82" s="103">
        <v>3689192</v>
      </c>
    </row>
    <row r="83" spans="1:19" s="101" customFormat="1">
      <c r="B83" s="101" t="s">
        <v>366</v>
      </c>
      <c r="C83" s="102">
        <v>3.8066882420037085E-2</v>
      </c>
      <c r="D83" s="103">
        <v>5920853</v>
      </c>
      <c r="G83" s="101" t="s">
        <v>367</v>
      </c>
      <c r="H83" s="102">
        <v>2.4696549090170716E-2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165</v>
      </c>
      <c r="D93" s="107">
        <v>0.77251713704878411</v>
      </c>
      <c r="E93" s="107">
        <v>0.82886590506460256</v>
      </c>
      <c r="F93" s="107">
        <v>0.85433518841478073</v>
      </c>
      <c r="G93" s="107">
        <v>0.85273885245006398</v>
      </c>
      <c r="H93" s="107">
        <v>0.78974387224925413</v>
      </c>
      <c r="I93" s="107">
        <v>0.62623878460077564</v>
      </c>
      <c r="J93" s="107">
        <v>0.55037423250850659</v>
      </c>
      <c r="K93" s="107">
        <v>0.48857567915403849</v>
      </c>
      <c r="L93" s="107">
        <v>0.41617946608046552</v>
      </c>
      <c r="M93" s="107">
        <v>0.56722794665791376</v>
      </c>
      <c r="O93" s="101">
        <v>12153634</v>
      </c>
    </row>
    <row r="94" spans="1:19" s="101" customFormat="1" hidden="1">
      <c r="B94" s="101">
        <v>2</v>
      </c>
      <c r="C94" s="101" t="s">
        <v>182</v>
      </c>
      <c r="D94" s="107">
        <v>4.8218504913571207E-2</v>
      </c>
      <c r="E94" s="107">
        <v>2.773072738886798E-2</v>
      </c>
      <c r="F94" s="107">
        <v>1.0827484286813585E-2</v>
      </c>
      <c r="G94" s="107">
        <v>6.1709674498083922E-3</v>
      </c>
      <c r="H94" s="107">
        <v>5.1093453739004438E-2</v>
      </c>
      <c r="I94" s="107">
        <v>0.15464122720560539</v>
      </c>
      <c r="J94" s="107">
        <v>0.19685639576996816</v>
      </c>
      <c r="K94" s="107">
        <v>0.12201288857291731</v>
      </c>
      <c r="L94" s="107">
        <v>0.31092837014013708</v>
      </c>
      <c r="M94" s="107">
        <v>0.19714815621185555</v>
      </c>
      <c r="O94" s="101">
        <v>553960</v>
      </c>
    </row>
    <row r="95" spans="1:19" s="101" customFormat="1" hidden="1">
      <c r="B95" s="101">
        <v>3</v>
      </c>
      <c r="C95" s="101" t="s">
        <v>353</v>
      </c>
      <c r="D95" s="107">
        <v>9.8627719267732006E-2</v>
      </c>
      <c r="E95" s="107">
        <v>8.4828384703029266E-2</v>
      </c>
      <c r="F95" s="107">
        <v>8.6959471584404952E-2</v>
      </c>
      <c r="G95" s="107">
        <v>8.565323313943779E-2</v>
      </c>
      <c r="H95" s="107">
        <v>0.10793561137311583</v>
      </c>
      <c r="I95" s="107">
        <v>0.13563223483278045</v>
      </c>
      <c r="J95" s="107">
        <v>0.18023410916818863</v>
      </c>
      <c r="K95" s="107">
        <v>0.1766562387316577</v>
      </c>
      <c r="L95" s="107">
        <v>0.17630816406862984</v>
      </c>
      <c r="M95" s="107">
        <v>0.14636362970840397</v>
      </c>
      <c r="O95" s="101">
        <v>3050596</v>
      </c>
    </row>
    <row r="96" spans="1:19" s="101" customFormat="1" hidden="1">
      <c r="B96" s="101">
        <v>4</v>
      </c>
      <c r="C96" s="101" t="s">
        <v>176</v>
      </c>
      <c r="D96" s="107">
        <v>2.5070644811656256E-2</v>
      </c>
      <c r="E96" s="107">
        <v>2.3096498326687028E-2</v>
      </c>
      <c r="F96" s="107">
        <v>2.8381553718189002E-2</v>
      </c>
      <c r="G96" s="107">
        <v>3.6694536054882057E-2</v>
      </c>
      <c r="H96" s="107">
        <v>3.18145290402869E-2</v>
      </c>
      <c r="I96" s="107">
        <v>4.5565192425725265E-2</v>
      </c>
      <c r="J96" s="107">
        <v>4.6610860935642213E-2</v>
      </c>
      <c r="K96" s="107"/>
      <c r="L96" s="107">
        <v>5.590177548267309E-2</v>
      </c>
      <c r="M96" s="107">
        <v>4.8229991216747641E-2</v>
      </c>
      <c r="O96" s="101">
        <v>1692097</v>
      </c>
    </row>
    <row r="97" spans="1:15" s="101" customFormat="1" hidden="1">
      <c r="B97" s="101">
        <v>5</v>
      </c>
      <c r="C97" s="101" t="s">
        <v>368</v>
      </c>
      <c r="D97" s="107"/>
      <c r="E97" s="107"/>
      <c r="F97" s="107"/>
      <c r="G97" s="107"/>
      <c r="H97" s="107"/>
      <c r="I97" s="107"/>
      <c r="J97" s="107"/>
      <c r="K97" s="107"/>
      <c r="L97" s="107">
        <v>1.5985675137923865E-2</v>
      </c>
      <c r="M97" s="107"/>
      <c r="O97" s="101">
        <v>3689192</v>
      </c>
    </row>
    <row r="98" spans="1:15" s="101" customFormat="1" hidden="1">
      <c r="B98" s="101">
        <v>6</v>
      </c>
      <c r="C98" s="101" t="s">
        <v>248</v>
      </c>
      <c r="D98" s="107"/>
      <c r="E98" s="107"/>
      <c r="F98" s="107"/>
      <c r="G98" s="107"/>
      <c r="H98" s="107"/>
      <c r="I98" s="107"/>
      <c r="J98" s="107">
        <v>6.4379576905784861E-3</v>
      </c>
      <c r="K98" s="107"/>
      <c r="L98" s="107"/>
      <c r="M98" s="107">
        <v>1.4176534728175793E-2</v>
      </c>
      <c r="O98" s="101">
        <v>11115023</v>
      </c>
    </row>
    <row r="99" spans="1:15" s="101" customFormat="1" hidden="1">
      <c r="B99" s="101">
        <v>7</v>
      </c>
      <c r="C99" s="101" t="s">
        <v>369</v>
      </c>
      <c r="D99" s="107"/>
      <c r="E99" s="107"/>
      <c r="F99" s="107"/>
      <c r="G99" s="107"/>
      <c r="H99" s="107"/>
      <c r="I99" s="107"/>
      <c r="J99" s="107"/>
      <c r="K99" s="107">
        <v>8.4895326214528638E-2</v>
      </c>
      <c r="L99" s="107"/>
      <c r="M99" s="107"/>
      <c r="O99" s="101">
        <v>2480382</v>
      </c>
    </row>
    <row r="100" spans="1:15" s="101" customFormat="1" hidden="1">
      <c r="B100" s="101">
        <v>8</v>
      </c>
      <c r="C100" s="101" t="s">
        <v>370</v>
      </c>
      <c r="D100" s="107"/>
      <c r="E100" s="107"/>
      <c r="F100" s="107"/>
      <c r="G100" s="107"/>
      <c r="H100" s="107"/>
      <c r="I100" s="107"/>
      <c r="J100" s="107"/>
      <c r="K100" s="107">
        <v>5.2336342153091006E-2</v>
      </c>
      <c r="L100" s="107"/>
      <c r="M100" s="107"/>
      <c r="O100" s="101">
        <v>7434864</v>
      </c>
    </row>
    <row r="101" spans="1:15" s="101" customFormat="1" hidden="1">
      <c r="B101" s="101">
        <v>9</v>
      </c>
      <c r="C101" s="101" t="s">
        <v>161</v>
      </c>
      <c r="D101" s="107"/>
      <c r="E101" s="107">
        <v>9.9895653939406012E-3</v>
      </c>
      <c r="F101" s="107"/>
      <c r="G101" s="107"/>
      <c r="H101" s="107"/>
      <c r="I101" s="107">
        <v>1.5393710909801709E-2</v>
      </c>
      <c r="J101" s="107"/>
      <c r="K101" s="107"/>
      <c r="L101" s="107"/>
      <c r="M101" s="107"/>
      <c r="O101" s="101">
        <v>8497745</v>
      </c>
    </row>
    <row r="102" spans="1:15" s="101" customFormat="1" hidden="1">
      <c r="B102" s="101">
        <v>10</v>
      </c>
      <c r="C102" s="101" t="s">
        <v>177</v>
      </c>
      <c r="D102" s="107"/>
      <c r="E102" s="107"/>
      <c r="F102" s="107"/>
      <c r="G102" s="107"/>
      <c r="H102" s="107">
        <v>6.5065834689158331E-3</v>
      </c>
      <c r="I102" s="107"/>
      <c r="J102" s="107"/>
      <c r="K102" s="107"/>
      <c r="L102" s="107"/>
      <c r="M102" s="107"/>
      <c r="O102" s="101">
        <v>14393110</v>
      </c>
    </row>
    <row r="103" spans="1:15" s="101" customFormat="1" hidden="1">
      <c r="B103" s="101">
        <v>11</v>
      </c>
      <c r="C103" s="101" t="s">
        <v>371</v>
      </c>
      <c r="D103" s="107"/>
      <c r="E103" s="107"/>
      <c r="F103" s="107">
        <v>4.866216476330832E-3</v>
      </c>
      <c r="G103" s="107">
        <v>5.9282231266326825E-3</v>
      </c>
      <c r="H103" s="107"/>
      <c r="I103" s="107"/>
      <c r="J103" s="107"/>
      <c r="K103" s="107"/>
      <c r="L103" s="107"/>
      <c r="M103" s="107"/>
      <c r="O103" s="101">
        <v>2887140</v>
      </c>
    </row>
    <row r="104" spans="1:15" s="101" customFormat="1" hidden="1">
      <c r="B104" s="101">
        <v>12</v>
      </c>
      <c r="C104" s="101" t="s">
        <v>324</v>
      </c>
      <c r="D104" s="107">
        <v>1.9595248431234748E-2</v>
      </c>
      <c r="E104" s="107"/>
      <c r="F104" s="107"/>
      <c r="G104" s="107"/>
      <c r="H104" s="107"/>
      <c r="I104" s="107"/>
      <c r="J104" s="107"/>
      <c r="K104" s="107"/>
      <c r="L104" s="107"/>
      <c r="M104" s="107"/>
      <c r="O104" s="101">
        <v>15057844</v>
      </c>
    </row>
    <row r="105" spans="1:15" s="101" customFormat="1" hidden="1">
      <c r="B105" s="101">
        <v>13</v>
      </c>
      <c r="C105" s="101" t="s">
        <v>251</v>
      </c>
      <c r="D105" s="107">
        <v>3.5970745527021696E-2</v>
      </c>
      <c r="E105" s="107">
        <v>2.5488919122872579E-2</v>
      </c>
      <c r="F105" s="107">
        <v>1.4630085519480931E-2</v>
      </c>
      <c r="G105" s="107">
        <v>1.281418777917513E-2</v>
      </c>
      <c r="H105" s="107">
        <v>1.2905950129422873E-2</v>
      </c>
      <c r="I105" s="107">
        <v>2.2528850025311527E-2</v>
      </c>
      <c r="J105" s="107">
        <v>1.948644392711588E-2</v>
      </c>
      <c r="K105" s="107">
        <v>7.5523525173766842E-2</v>
      </c>
      <c r="L105" s="107">
        <v>2.4696549090170626E-2</v>
      </c>
      <c r="M105" s="107">
        <v>2.6853741476903305E-2</v>
      </c>
      <c r="O105" s="101">
        <v>5920853</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14</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7</v>
      </c>
      <c r="D121" s="52">
        <v>12</v>
      </c>
      <c r="E121" s="52">
        <v>7</v>
      </c>
      <c r="F121" s="53">
        <v>26</v>
      </c>
    </row>
    <row r="122" spans="1:15" ht="18" customHeight="1">
      <c r="A122" s="186" t="s">
        <v>198</v>
      </c>
      <c r="B122" s="35" t="s">
        <v>199</v>
      </c>
      <c r="C122" s="54">
        <v>10.962857246398926</v>
      </c>
      <c r="D122" s="54">
        <v>26.904999732971191</v>
      </c>
      <c r="E122" s="54">
        <v>20.871429443359375</v>
      </c>
      <c r="F122" s="55">
        <v>20.988462448120117</v>
      </c>
    </row>
    <row r="123" spans="1:15" ht="18" customHeight="1">
      <c r="A123" s="187"/>
      <c r="B123" s="37" t="s">
        <v>190</v>
      </c>
      <c r="C123" s="56">
        <v>92.285713195800781</v>
      </c>
      <c r="D123" s="56">
        <v>431.24998474121094</v>
      </c>
      <c r="E123" s="56">
        <v>336.42855834960938</v>
      </c>
      <c r="F123" s="57">
        <v>314.4615478515625</v>
      </c>
    </row>
    <row r="124" spans="1:15" ht="18" customHeight="1">
      <c r="A124" s="187"/>
      <c r="B124" s="37" t="s">
        <v>191</v>
      </c>
      <c r="C124" s="56">
        <v>14</v>
      </c>
      <c r="D124" s="56">
        <v>202.91666412353516</v>
      </c>
      <c r="E124" s="56">
        <v>124.28571319580078</v>
      </c>
      <c r="F124" s="57">
        <v>130.88461303710938</v>
      </c>
    </row>
    <row r="125" spans="1:15" ht="18" customHeight="1">
      <c r="A125" s="187"/>
      <c r="B125" s="37" t="s">
        <v>192</v>
      </c>
      <c r="C125" s="56">
        <v>86.62725830078125</v>
      </c>
      <c r="D125" s="56">
        <v>382.26141357421875</v>
      </c>
      <c r="E125" s="56">
        <v>279.59866333007813</v>
      </c>
      <c r="F125" s="57">
        <v>275.02761840820313</v>
      </c>
    </row>
    <row r="126" spans="1:15" ht="18" customHeight="1">
      <c r="A126" s="187"/>
      <c r="B126" s="37" t="s">
        <v>193</v>
      </c>
      <c r="C126" s="33">
        <v>45.171127319335938</v>
      </c>
      <c r="D126" s="33">
        <v>282.17927551269531</v>
      </c>
      <c r="E126" s="33">
        <v>60.254341125488281</v>
      </c>
      <c r="F126" s="58">
        <v>158.62037658691406</v>
      </c>
    </row>
    <row r="127" spans="1:15" ht="18" customHeight="1">
      <c r="A127" s="187"/>
      <c r="B127" s="37" t="s">
        <v>200</v>
      </c>
      <c r="C127" s="33">
        <f ca="1">364.85165625*OFFSET($L$113,MATCH($N$1,$C$113:$C$114,0)-1,0)</f>
        <v>364.85165625000002</v>
      </c>
      <c r="D127" s="33">
        <f ca="1">499.494265625*OFFSET($L$113,MATCH($N$1,$C$113:$C$114,0)-1,0)</f>
        <v>499.49426562500003</v>
      </c>
      <c r="E127" s="33">
        <f ca="1">145.0348125*OFFSET($L$113,MATCH($N$1,$C$113:$C$114,0)-1,0)</f>
        <v>145.03481249999999</v>
      </c>
      <c r="F127" s="58">
        <f ca="1">367.8129375*OFFSET($L$113,MATCH($N$1,$C$113:$C$114,0)-1,0)</f>
        <v>367.81293749999998</v>
      </c>
    </row>
    <row r="128" spans="1:15" ht="18" customHeight="1">
      <c r="A128" s="187"/>
      <c r="B128" s="37" t="s">
        <v>195</v>
      </c>
      <c r="C128" s="56">
        <v>104.71428680419922</v>
      </c>
      <c r="D128" s="56">
        <v>206.33333587646484</v>
      </c>
      <c r="E128" s="56">
        <v>129.28572082519531</v>
      </c>
      <c r="F128" s="57">
        <v>158.23077392578125</v>
      </c>
    </row>
    <row r="129" spans="1:15" ht="18" customHeight="1">
      <c r="A129" s="187"/>
      <c r="B129" s="37" t="s">
        <v>201</v>
      </c>
      <c r="C129" s="56">
        <v>40</v>
      </c>
      <c r="D129" s="56">
        <v>38.999999046325684</v>
      </c>
      <c r="E129" s="56">
        <v>44.857143402099609</v>
      </c>
      <c r="F129" s="57">
        <v>40.846153259277344</v>
      </c>
    </row>
    <row r="130" spans="1:15" ht="18" customHeight="1">
      <c r="A130" s="187"/>
      <c r="B130" s="37" t="s">
        <v>202</v>
      </c>
      <c r="C130" s="59">
        <v>0.43137502670288086</v>
      </c>
      <c r="D130" s="59">
        <v>1.3675893636578467</v>
      </c>
      <c r="E130" s="59">
        <v>0.46605566143989563</v>
      </c>
      <c r="F130" s="60">
        <v>1.0024622678756714</v>
      </c>
    </row>
    <row r="131" spans="1:15" ht="18" customHeight="1">
      <c r="A131" s="188"/>
      <c r="B131" s="39" t="s">
        <v>203</v>
      </c>
      <c r="C131" s="40">
        <f ca="1">8077.09875537735*OFFSET($L$113,MATCH($N$1,$C$113:$C$114,0)-1,0)</f>
        <v>8077.0987553773502</v>
      </c>
      <c r="D131" s="40">
        <f ca="1">1770.13093792045*OFFSET($L$113,MATCH($N$1,$C$113:$C$114,0)-1,0)</f>
        <v>1770.1309379204499</v>
      </c>
      <c r="E131" s="40">
        <f ca="1">2407.04337299024*OFFSET($L$113,MATCH($N$1,$C$113:$C$114,0)-1,0)</f>
        <v>2407.0433729902402</v>
      </c>
      <c r="F131" s="61">
        <f ca="1">2319*OFFSET($L$113,MATCH($N$1,$C$113:$C$114,0)-1,0)</f>
        <v>2319</v>
      </c>
    </row>
    <row r="132" spans="1:15" ht="18" customHeight="1">
      <c r="A132" s="198" t="s">
        <v>204</v>
      </c>
      <c r="B132" s="35" t="s">
        <v>205</v>
      </c>
      <c r="C132" s="62">
        <v>4.6679542076567584</v>
      </c>
      <c r="D132" s="62">
        <v>2.8875223513195429</v>
      </c>
      <c r="E132" s="62">
        <v>1.4053911900352152</v>
      </c>
      <c r="F132" s="63">
        <v>2.6770711485786149</v>
      </c>
    </row>
    <row r="133" spans="1:15" ht="18" customHeight="1">
      <c r="A133" s="199"/>
      <c r="B133" s="37" t="s">
        <v>206</v>
      </c>
      <c r="C133" s="59">
        <f ca="1">37.7035271208229*OFFSET($L$113,MATCH($N$1,$C$113:$C$114,0)-1,0)</f>
        <v>37.703527120822898</v>
      </c>
      <c r="D133" s="59">
        <f ca="1">5.11129264800752*OFFSET($L$113,MATCH($N$1,$C$113:$C$114,0)-1,0)</f>
        <v>5.1112926480075203</v>
      </c>
      <c r="E133" s="59">
        <f ca="1">3.38283755043314*OFFSET($L$113,MATCH($N$1,$C$113:$C$114,0)-1,0)</f>
        <v>3.3828375504331398</v>
      </c>
      <c r="F133" s="60">
        <f ca="1">6.20766022778711*OFFSET($L$113,MATCH($N$1,$C$113:$C$114,0)-1,0)</f>
        <v>6.2076602277871098</v>
      </c>
    </row>
    <row r="134" spans="1:15" ht="18" customHeight="1">
      <c r="A134" s="199"/>
      <c r="B134" s="37" t="s">
        <v>153</v>
      </c>
      <c r="C134" s="59">
        <f ca="1">23.9915746149348*OFFSET($L$113,MATCH($N$1,$C$113:$C$114,0)-1,0)</f>
        <v>23.991574614934802</v>
      </c>
      <c r="D134" s="59">
        <f ca="1">4.24266223569896*OFFSET($L$113,MATCH($N$1,$C$113:$C$114,0)-1,0)</f>
        <v>4.2426622356989601</v>
      </c>
      <c r="E134" s="59">
        <f ca="1">3.47087292544574*OFFSET($L$113,MATCH($N$1,$C$113:$C$114,0)-1,0)</f>
        <v>3.47087292544574</v>
      </c>
      <c r="F134" s="60">
        <f ca="1">4.96067462471587*OFFSET($L$113,MATCH($N$1,$C$113:$C$114,0)-1,0)</f>
        <v>4.9606746247158702</v>
      </c>
    </row>
    <row r="135" spans="1:15" ht="18" customHeight="1">
      <c r="A135" s="200"/>
      <c r="B135" s="39" t="s">
        <v>154</v>
      </c>
      <c r="C135" s="64">
        <f ca="1">13.711952505888*OFFSET($L$113,MATCH($N$1,$C$113:$C$114,0)-1,0)</f>
        <v>13.711952505888</v>
      </c>
      <c r="D135" s="64">
        <f ca="1">0.868630412308559*OFFSET($L$113,MATCH($N$1,$C$113:$C$114,0)-1,0)</f>
        <v>0.86863041230855897</v>
      </c>
      <c r="E135" s="64">
        <f ca="1">-0.0880353750126074*OFFSET($L$113,MATCH($N$1,$C$113:$C$114,0)-1,0)</f>
        <v>-8.80353750126074E-2</v>
      </c>
      <c r="F135" s="65">
        <f ca="1">1.24698560307123*OFFSET($L$113,MATCH($N$1,$C$113:$C$114,0)-1,0)</f>
        <v>1.2469856030712301</v>
      </c>
    </row>
    <row r="136" spans="1:15" ht="18" customHeight="1">
      <c r="A136" s="201" t="s">
        <v>260</v>
      </c>
      <c r="B136" s="37" t="s">
        <v>261</v>
      </c>
      <c r="C136" s="66">
        <f ca="1">37.15671875*OFFSET($L$113,MATCH($N$1,$C$113:$C$114,0)-1,0)</f>
        <v>37.156718750000003</v>
      </c>
      <c r="D136" s="66">
        <f ca="1">147.638203125*OFFSET($L$113,MATCH($N$1,$C$113:$C$114,0)-1,0)</f>
        <v>147.63820312499999</v>
      </c>
      <c r="E136" s="66">
        <f ca="1">71.29084375*OFFSET($L$113,MATCH($N$1,$C$113:$C$114,0)-1,0)</f>
        <v>71.290843749999993</v>
      </c>
      <c r="F136" s="67">
        <f ca="1">97.338125*OFFSET($L$113,MATCH($N$1,$C$113:$C$114,0)-1,0)</f>
        <v>97.338125000000005</v>
      </c>
    </row>
    <row r="137" spans="1:15" ht="18" customHeight="1">
      <c r="A137" s="202"/>
      <c r="B137" s="37" t="s">
        <v>262</v>
      </c>
      <c r="C137" s="31">
        <v>78535.715103149414</v>
      </c>
      <c r="D137" s="31">
        <v>308862.51305568963</v>
      </c>
      <c r="E137" s="31">
        <v>145678.57260652073</v>
      </c>
      <c r="F137" s="68">
        <v>202917.30769230769</v>
      </c>
    </row>
    <row r="138" spans="1:15" ht="18" customHeight="1">
      <c r="A138" s="202"/>
      <c r="B138" s="37" t="s">
        <v>263</v>
      </c>
      <c r="C138" s="31">
        <v>750</v>
      </c>
      <c r="D138" s="31">
        <v>1496.9103840816624</v>
      </c>
      <c r="E138" s="31">
        <v>1126.7955322265625</v>
      </c>
      <c r="F138" s="68">
        <v>1282.4136962890625</v>
      </c>
    </row>
    <row r="139" spans="1:15" ht="18" customHeight="1">
      <c r="A139" s="202"/>
      <c r="B139" s="37" t="s">
        <v>264</v>
      </c>
      <c r="C139" s="31">
        <f ca="1">354.839056675024*OFFSET($L$113,MATCH($N$1,$C$113:$C$114,0)-1,0)</f>
        <v>354.83905667502398</v>
      </c>
      <c r="D139" s="31">
        <f ca="1">715.532478054799*OFFSET($L$113,MATCH($N$1,$C$113:$C$114,0)-1,0)</f>
        <v>715.53247805479896</v>
      </c>
      <c r="E139" s="31">
        <f ca="1">551.420862992217*OFFSET($L$113,MATCH($N$1,$C$113:$C$114,0)-1,0)</f>
        <v>551.42086299221705</v>
      </c>
      <c r="F139" s="68">
        <f ca="1">615.165574843594*OFFSET($L$113,MATCH($N$1,$C$113:$C$114,0)-1,0)</f>
        <v>615.16557484359396</v>
      </c>
      <c r="I139" s="43"/>
      <c r="L139" s="69" t="str">
        <f>C120</f>
        <v>Most
profitable
quartile</v>
      </c>
      <c r="M139" s="69" t="str">
        <f>D120</f>
        <v>Middle
two quartiles</v>
      </c>
      <c r="N139" s="69" t="str">
        <f>E120</f>
        <v>Least
profitable
quartile</v>
      </c>
      <c r="O139" s="69"/>
    </row>
    <row r="140" spans="1:15" ht="18" customHeight="1">
      <c r="A140" s="202"/>
      <c r="B140" s="37" t="s">
        <v>265</v>
      </c>
      <c r="C140" s="31">
        <f ca="1">822.576742159249*OFFSET($L$113,MATCH($N$1,$C$113:$C$114,0)-1,0)</f>
        <v>822.57674215924897</v>
      </c>
      <c r="D140" s="31">
        <f ca="1">523.207109582212*OFFSET($L$113,MATCH($N$1,$C$113:$C$114,0)-1,0)</f>
        <v>523.20710958221196</v>
      </c>
      <c r="E140" s="31">
        <f ca="1">1183.16526939572*OFFSET($L$113,MATCH($N$1,$C$113:$C$114,0)-1,0)</f>
        <v>1183.1652693957201</v>
      </c>
      <c r="F140" s="68">
        <f ca="1">613.654607903826*OFFSET($L$113,MATCH($N$1,$C$113:$C$114,0)-1,0)</f>
        <v>613.65460790382599</v>
      </c>
      <c r="I140" s="43"/>
      <c r="K140" s="69" t="s">
        <v>266</v>
      </c>
      <c r="L140" s="70">
        <f t="shared" ref="L140:M142" ca="1" si="2">C141</f>
        <v>371.58321875000001</v>
      </c>
      <c r="M140" s="70">
        <f t="shared" ca="1" si="2"/>
        <v>508.70992187500002</v>
      </c>
      <c r="N140" s="70">
        <f ca="1">E141</f>
        <v>147.71070312500001</v>
      </c>
      <c r="O140" s="70"/>
    </row>
    <row r="141" spans="1:15" ht="18" customHeight="1">
      <c r="A141" s="179" t="s">
        <v>267</v>
      </c>
      <c r="B141" s="35" t="s">
        <v>268</v>
      </c>
      <c r="C141" s="71">
        <f ca="1">371.58321875*OFFSET($L$113,MATCH($N$1,$C$113:$C$114,0)-1,0)</f>
        <v>371.58321875000001</v>
      </c>
      <c r="D141" s="71">
        <f ca="1">508.709921875*OFFSET($L$113,MATCH($N$1,$C$113:$C$114,0)-1,0)</f>
        <v>508.70992187500002</v>
      </c>
      <c r="E141" s="71">
        <f ca="1">147.710703125*OFFSET($L$113,MATCH($N$1,$C$113:$C$114,0)-1,0)</f>
        <v>147.71070312500001</v>
      </c>
      <c r="F141" s="72">
        <f ca="1">374.59909375*OFFSET($L$113,MATCH($N$1,$C$113:$C$114,0)-1,0)</f>
        <v>374.59909375000001</v>
      </c>
      <c r="I141" s="43"/>
      <c r="K141" s="69" t="s">
        <v>269</v>
      </c>
      <c r="L141" s="70">
        <f t="shared" ca="1" si="2"/>
        <v>238.89460937499999</v>
      </c>
      <c r="M141" s="70">
        <f t="shared" ca="1" si="2"/>
        <v>423.82417187499999</v>
      </c>
      <c r="N141" s="70">
        <f ca="1">E142</f>
        <v>151.48510937500001</v>
      </c>
      <c r="O141" s="70"/>
    </row>
    <row r="142" spans="1:15" ht="18" customHeight="1">
      <c r="A142" s="180"/>
      <c r="B142" s="37" t="s">
        <v>270</v>
      </c>
      <c r="C142" s="31">
        <f ca="1">238.894609375*OFFSET($L$113,MATCH($N$1,$C$113:$C$114,0)-1,0)</f>
        <v>238.89460937499999</v>
      </c>
      <c r="D142" s="31">
        <f ca="1">423.824171875*OFFSET($L$113,MATCH($N$1,$C$113:$C$114,0)-1,0)</f>
        <v>423.82417187499999</v>
      </c>
      <c r="E142" s="31">
        <f ca="1">151.485109375*OFFSET($L$113,MATCH($N$1,$C$113:$C$114,0)-1,0)</f>
        <v>151.48510937500001</v>
      </c>
      <c r="F142" s="68">
        <f ca="1">300.713375*OFFSET($L$113,MATCH($N$1,$C$113:$C$114,0)-1,0)</f>
        <v>300.71337499999998</v>
      </c>
      <c r="I142" s="43"/>
      <c r="K142" s="69" t="s">
        <v>271</v>
      </c>
      <c r="L142" s="70">
        <f t="shared" ca="1" si="2"/>
        <v>132.688609375</v>
      </c>
      <c r="M142" s="70">
        <f t="shared" ca="1" si="2"/>
        <v>84.885750000000002</v>
      </c>
      <c r="N142" s="70">
        <f ca="1">E143</f>
        <v>-3.7744062500000002</v>
      </c>
      <c r="O142" s="70"/>
    </row>
    <row r="143" spans="1:15" ht="18" customHeight="1">
      <c r="A143" s="181"/>
      <c r="B143" s="39" t="s">
        <v>272</v>
      </c>
      <c r="C143" s="40">
        <f ca="1">132.688609375*OFFSET($L$113,MATCH($N$1,$C$113:$C$114,0)-1,0)</f>
        <v>132.688609375</v>
      </c>
      <c r="D143" s="40">
        <f ca="1">84.88575*OFFSET($L$113,MATCH($N$1,$C$113:$C$114,0)-1,0)</f>
        <v>84.885750000000002</v>
      </c>
      <c r="E143" s="40">
        <f ca="1">-3.77440625*OFFSET($L$113,MATCH($N$1,$C$113:$C$114,0)-1,0)</f>
        <v>-3.7744062500000002</v>
      </c>
      <c r="F143" s="61">
        <f ca="1">73.88571875*OFFSET($L$113,MATCH($N$1,$C$113:$C$114,0)-1,0)</f>
        <v>73.885718749999995</v>
      </c>
      <c r="I143" s="43"/>
      <c r="K143" s="69" t="s">
        <v>273</v>
      </c>
      <c r="L143" s="73">
        <f ca="1">IFERROR(L141/L$140,"")</f>
        <v>0.64291011359080641</v>
      </c>
      <c r="M143" s="73">
        <f t="shared" ref="M143:N144" ca="1" si="3">IFERROR(M141/M$140,"")</f>
        <v>0.83313525773759511</v>
      </c>
      <c r="N143" s="73">
        <f t="shared" ca="1" si="3"/>
        <v>1.0255526930015757</v>
      </c>
      <c r="O143" s="73"/>
    </row>
    <row r="144" spans="1:15" ht="18" customHeight="1">
      <c r="I144" s="43"/>
      <c r="K144" s="69" t="s">
        <v>274</v>
      </c>
      <c r="L144" s="73">
        <f ca="1">IFERROR(L142/L$140,"")</f>
        <v>0.35708988640919348</v>
      </c>
      <c r="M144" s="73">
        <f t="shared" ca="1" si="3"/>
        <v>0.16686474226240489</v>
      </c>
      <c r="N144" s="73">
        <f t="shared" ca="1" si="3"/>
        <v>-2.5552693001575609E-2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165</v>
      </c>
      <c r="C163" s="48">
        <v>0</v>
      </c>
      <c r="D163" s="48">
        <v>0.46503481091144933</v>
      </c>
      <c r="E163" s="48">
        <v>0.43740085667358858</v>
      </c>
      <c r="F163" s="44">
        <v>12153634</v>
      </c>
      <c r="G163" s="44">
        <v>1</v>
      </c>
      <c r="H163" s="48" t="s">
        <v>165</v>
      </c>
      <c r="I163" s="48">
        <v>0</v>
      </c>
      <c r="J163" s="48">
        <v>0.58933696431649452</v>
      </c>
      <c r="K163" s="48">
        <v>0.44878182431020508</v>
      </c>
      <c r="L163" s="44">
        <v>12153634</v>
      </c>
      <c r="R163" s="21"/>
      <c r="S163" s="21"/>
    </row>
    <row r="164" spans="1:19" s="43" customFormat="1">
      <c r="A164" s="44">
        <v>2</v>
      </c>
      <c r="B164" s="48" t="s">
        <v>353</v>
      </c>
      <c r="C164" s="48">
        <v>0</v>
      </c>
      <c r="D164" s="48">
        <v>0.40131933512002443</v>
      </c>
      <c r="E164" s="48">
        <v>0.2444347690816083</v>
      </c>
      <c r="F164" s="44">
        <v>3050596</v>
      </c>
      <c r="G164" s="44">
        <v>2</v>
      </c>
      <c r="H164" s="48" t="s">
        <v>353</v>
      </c>
      <c r="I164" s="48">
        <v>0</v>
      </c>
      <c r="J164" s="48">
        <v>0.25849913063318875</v>
      </c>
      <c r="K164" s="48">
        <v>0.13807550302028901</v>
      </c>
      <c r="L164" s="44">
        <v>3050596</v>
      </c>
      <c r="N164" s="43" t="s">
        <v>278</v>
      </c>
      <c r="R164" s="21"/>
      <c r="S164" s="21"/>
    </row>
    <row r="165" spans="1:19" s="43" customFormat="1">
      <c r="A165" s="44">
        <v>3</v>
      </c>
      <c r="B165" s="48" t="s">
        <v>368</v>
      </c>
      <c r="C165" s="48">
        <v>0</v>
      </c>
      <c r="D165" s="48">
        <v>6.1488976754396282E-2</v>
      </c>
      <c r="E165" s="48">
        <v>0</v>
      </c>
      <c r="F165" s="44">
        <v>3689192</v>
      </c>
      <c r="G165" s="44">
        <v>3</v>
      </c>
      <c r="H165" s="48" t="s">
        <v>182</v>
      </c>
      <c r="I165" s="48">
        <v>1</v>
      </c>
      <c r="J165" s="48">
        <v>7.0146145870615656E-2</v>
      </c>
      <c r="K165" s="48">
        <v>0</v>
      </c>
      <c r="L165" s="44">
        <v>553960</v>
      </c>
      <c r="N165" s="43" t="s">
        <v>279</v>
      </c>
      <c r="R165" s="21"/>
      <c r="S165" s="21"/>
    </row>
    <row r="166" spans="1:19" s="43" customFormat="1">
      <c r="A166" s="44">
        <v>4</v>
      </c>
      <c r="B166" s="48" t="s">
        <v>176</v>
      </c>
      <c r="C166" s="48">
        <v>0</v>
      </c>
      <c r="D166" s="48">
        <v>1.7212267489947218E-2</v>
      </c>
      <c r="E166" s="48">
        <v>0.29333724648901299</v>
      </c>
      <c r="F166" s="44">
        <v>1692097</v>
      </c>
      <c r="G166" s="44">
        <v>4</v>
      </c>
      <c r="H166" s="48" t="s">
        <v>368</v>
      </c>
      <c r="I166" s="48">
        <v>0</v>
      </c>
      <c r="J166" s="48">
        <v>2.5563186520415011E-2</v>
      </c>
      <c r="K166" s="48">
        <v>0</v>
      </c>
      <c r="L166" s="44">
        <v>3689192</v>
      </c>
      <c r="R166" s="21"/>
      <c r="S166" s="21"/>
    </row>
    <row r="167" spans="1:19" s="43" customFormat="1">
      <c r="A167" s="44">
        <v>5</v>
      </c>
      <c r="B167" s="48" t="s">
        <v>182</v>
      </c>
      <c r="C167" s="48">
        <v>1</v>
      </c>
      <c r="D167" s="48">
        <v>1.4623712774230142E-2</v>
      </c>
      <c r="E167" s="48">
        <v>0</v>
      </c>
      <c r="F167" s="44">
        <v>553960</v>
      </c>
      <c r="G167" s="44">
        <v>5</v>
      </c>
      <c r="H167" s="48" t="s">
        <v>176</v>
      </c>
      <c r="I167" s="48">
        <v>0</v>
      </c>
      <c r="J167" s="48">
        <v>2.5351029148672214E-2</v>
      </c>
      <c r="K167" s="48">
        <v>0.37724131193824467</v>
      </c>
      <c r="L167" s="44">
        <v>1692097</v>
      </c>
      <c r="R167" s="21"/>
      <c r="S167" s="21"/>
    </row>
    <row r="168" spans="1:19" s="43" customFormat="1">
      <c r="A168" s="44">
        <v>6</v>
      </c>
      <c r="B168" s="48" t="s">
        <v>248</v>
      </c>
      <c r="C168" s="48">
        <v>0</v>
      </c>
      <c r="D168" s="48">
        <v>0</v>
      </c>
      <c r="E168" s="48">
        <v>2.0497396605865029E-2</v>
      </c>
      <c r="F168" s="44">
        <v>11115023</v>
      </c>
      <c r="G168" s="44">
        <v>6</v>
      </c>
      <c r="H168" s="48" t="s">
        <v>248</v>
      </c>
      <c r="I168" s="48">
        <v>0</v>
      </c>
      <c r="J168" s="48">
        <v>0</v>
      </c>
      <c r="K168" s="48">
        <v>3.3196094213479473E-2</v>
      </c>
      <c r="L168" s="44">
        <v>11115023</v>
      </c>
      <c r="R168" s="21"/>
      <c r="S168" s="21"/>
    </row>
    <row r="169" spans="1:19" s="43" customFormat="1">
      <c r="A169" s="44">
        <v>7</v>
      </c>
      <c r="B169" s="48" t="s">
        <v>371</v>
      </c>
      <c r="C169" s="48">
        <v>0</v>
      </c>
      <c r="D169" s="48">
        <v>0</v>
      </c>
      <c r="E169" s="48">
        <v>2.3308339295016966E-3</v>
      </c>
      <c r="F169" s="44">
        <v>2480382</v>
      </c>
      <c r="G169" s="44">
        <v>7</v>
      </c>
      <c r="H169" s="48" t="s">
        <v>159</v>
      </c>
      <c r="I169" s="48">
        <v>0</v>
      </c>
      <c r="J169" s="48">
        <v>0</v>
      </c>
      <c r="K169" s="48">
        <v>1.4488434099667921E-3</v>
      </c>
      <c r="L169" s="44">
        <v>7434864</v>
      </c>
      <c r="R169" s="21"/>
      <c r="S169" s="21"/>
    </row>
    <row r="170" spans="1:19" s="43" customFormat="1">
      <c r="A170" s="44">
        <v>8</v>
      </c>
      <c r="B170" s="48" t="s">
        <v>251</v>
      </c>
      <c r="C170" s="48">
        <v>0</v>
      </c>
      <c r="D170" s="48">
        <v>4.0320896949952667E-2</v>
      </c>
      <c r="E170" s="48">
        <v>1.9988972204233457E-3</v>
      </c>
      <c r="F170" s="44">
        <v>5920853</v>
      </c>
      <c r="G170" s="44">
        <v>8</v>
      </c>
      <c r="H170" s="48" t="s">
        <v>251</v>
      </c>
      <c r="I170" s="48">
        <v>0</v>
      </c>
      <c r="J170" s="48">
        <v>3.110354351061384E-2</v>
      </c>
      <c r="K170" s="48">
        <v>1.2564231078149302E-3</v>
      </c>
      <c r="L170" s="44">
        <v>5920853</v>
      </c>
      <c r="R170" s="21"/>
      <c r="S170" s="21"/>
    </row>
    <row r="171" spans="1:19" s="43" customFormat="1">
      <c r="A171" s="44">
        <v>9</v>
      </c>
      <c r="B171" s="48"/>
      <c r="C171" s="48">
        <v>0</v>
      </c>
      <c r="D171" s="48">
        <v>0</v>
      </c>
      <c r="E171" s="48">
        <v>0</v>
      </c>
      <c r="F171" s="44">
        <v>7434864</v>
      </c>
      <c r="G171" s="44">
        <v>9</v>
      </c>
      <c r="H171" s="48"/>
      <c r="I171" s="48">
        <v>0</v>
      </c>
      <c r="J171" s="48">
        <v>0</v>
      </c>
      <c r="K171" s="48">
        <v>0</v>
      </c>
      <c r="L171" s="44">
        <v>7434864</v>
      </c>
      <c r="R171" s="21"/>
      <c r="S171" s="21"/>
    </row>
    <row r="172" spans="1:19" s="43" customFormat="1">
      <c r="A172" s="44">
        <v>10</v>
      </c>
      <c r="B172" s="48"/>
      <c r="C172" s="48">
        <v>0</v>
      </c>
      <c r="D172" s="48">
        <v>0</v>
      </c>
      <c r="E172" s="48">
        <v>0</v>
      </c>
      <c r="F172" s="44">
        <v>7434864</v>
      </c>
      <c r="G172" s="44">
        <v>10</v>
      </c>
      <c r="H172" s="48"/>
      <c r="I172" s="48">
        <v>0</v>
      </c>
      <c r="J172" s="48">
        <v>0</v>
      </c>
      <c r="K172" s="48">
        <v>0</v>
      </c>
      <c r="L172" s="44">
        <v>7434864</v>
      </c>
      <c r="R172" s="21"/>
      <c r="S172" s="21"/>
    </row>
    <row r="173" spans="1:19" s="43" customFormat="1">
      <c r="A173" s="44">
        <v>11</v>
      </c>
      <c r="B173" s="48"/>
      <c r="C173" s="48">
        <v>0</v>
      </c>
      <c r="D173" s="48">
        <v>0</v>
      </c>
      <c r="E173" s="48">
        <v>0</v>
      </c>
      <c r="F173" s="44">
        <v>7434864</v>
      </c>
      <c r="G173" s="44">
        <v>11</v>
      </c>
      <c r="H173" s="48"/>
      <c r="I173" s="48">
        <v>0</v>
      </c>
      <c r="J173" s="48">
        <v>0</v>
      </c>
      <c r="K173" s="48">
        <v>0</v>
      </c>
      <c r="L173" s="44">
        <v>7434864</v>
      </c>
      <c r="R173" s="21"/>
      <c r="S173" s="21"/>
    </row>
    <row r="174" spans="1:19" s="43" customFormat="1">
      <c r="A174" s="44">
        <v>12</v>
      </c>
      <c r="B174" s="48"/>
      <c r="C174" s="48">
        <v>0</v>
      </c>
      <c r="D174" s="48">
        <v>0</v>
      </c>
      <c r="E174" s="48">
        <v>0</v>
      </c>
      <c r="F174" s="44">
        <v>7434864</v>
      </c>
      <c r="G174" s="44">
        <v>12</v>
      </c>
      <c r="H174" s="48"/>
      <c r="I174" s="48">
        <v>0</v>
      </c>
      <c r="J174" s="48">
        <v>0</v>
      </c>
      <c r="K174" s="48">
        <v>0</v>
      </c>
      <c r="L174" s="44">
        <v>7434864</v>
      </c>
      <c r="R174" s="21"/>
      <c r="S174" s="21"/>
    </row>
    <row r="175" spans="1:19" s="43" customFormat="1">
      <c r="A175" s="44">
        <v>13</v>
      </c>
      <c r="B175" s="48"/>
      <c r="C175" s="48">
        <v>0</v>
      </c>
      <c r="D175" s="48">
        <v>0</v>
      </c>
      <c r="E175" s="48">
        <v>0</v>
      </c>
      <c r="F175" s="44">
        <v>7434864</v>
      </c>
      <c r="G175" s="44">
        <v>13</v>
      </c>
      <c r="H175" s="48"/>
      <c r="I175" s="48">
        <v>0</v>
      </c>
      <c r="J175" s="48">
        <v>0</v>
      </c>
      <c r="K175" s="48">
        <v>0</v>
      </c>
      <c r="L175" s="44">
        <v>7434864</v>
      </c>
      <c r="R175" s="21"/>
      <c r="S175" s="21"/>
    </row>
    <row r="176" spans="1:19" s="43" customFormat="1">
      <c r="A176" s="44">
        <v>14</v>
      </c>
      <c r="B176" s="48"/>
      <c r="C176" s="48">
        <v>0</v>
      </c>
      <c r="D176" s="48">
        <v>0</v>
      </c>
      <c r="E176" s="48">
        <v>0</v>
      </c>
      <c r="F176" s="44">
        <v>7434864</v>
      </c>
      <c r="G176" s="44">
        <v>14</v>
      </c>
      <c r="H176" s="48"/>
      <c r="I176" s="48">
        <v>0</v>
      </c>
      <c r="J176" s="48">
        <v>0</v>
      </c>
      <c r="K176" s="48">
        <v>0</v>
      </c>
      <c r="L176" s="44">
        <v>7434864</v>
      </c>
      <c r="R176" s="21"/>
      <c r="S176" s="21"/>
    </row>
    <row r="177" spans="1:19" s="43" customFormat="1">
      <c r="A177" s="44">
        <v>15</v>
      </c>
      <c r="B177" s="48"/>
      <c r="C177" s="48">
        <v>0</v>
      </c>
      <c r="D177" s="48">
        <v>0</v>
      </c>
      <c r="E177" s="48">
        <v>0</v>
      </c>
      <c r="F177" s="44">
        <v>7434864</v>
      </c>
      <c r="G177" s="44">
        <v>15</v>
      </c>
      <c r="H177" s="48"/>
      <c r="I177" s="48">
        <v>0</v>
      </c>
      <c r="J177" s="48">
        <v>0</v>
      </c>
      <c r="K177" s="48">
        <v>0</v>
      </c>
      <c r="L177" s="44">
        <v>7434864</v>
      </c>
      <c r="R177" s="21"/>
      <c r="S177" s="21"/>
    </row>
    <row r="178" spans="1:19" s="43" customFormat="1">
      <c r="A178" s="44">
        <v>16</v>
      </c>
      <c r="B178" s="48"/>
      <c r="C178" s="48">
        <v>0</v>
      </c>
      <c r="D178" s="48">
        <v>0</v>
      </c>
      <c r="E178" s="48">
        <v>0</v>
      </c>
      <c r="F178" s="44">
        <v>7434864</v>
      </c>
      <c r="G178" s="44">
        <v>16</v>
      </c>
      <c r="H178" s="48"/>
      <c r="I178" s="48">
        <v>0</v>
      </c>
      <c r="J178" s="48">
        <v>0</v>
      </c>
      <c r="K178" s="48">
        <v>0</v>
      </c>
      <c r="L178" s="44">
        <v>7434864</v>
      </c>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44BBB842-E4F7-4AD2-8C48-F80903E793B1}">
      <formula1>$C$113:$C$114</formula1>
    </dataValidation>
  </dataValidations>
  <hyperlinks>
    <hyperlink ref="O1:P1" location="Home_page" display="Back to home page" xr:uid="{A4728A25-E8A6-4D72-A8E5-4733810435E6}"/>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AA46461B-56DB-4398-95EE-4A8C63926783}">
          <x14:colorSeries rgb="FF323232"/>
          <x14:colorNegative rgb="FFD00000"/>
          <x14:colorAxis rgb="FF000000"/>
          <x14:colorMarkers rgb="FFD00000"/>
          <x14:colorFirst rgb="FFD00000"/>
          <x14:colorLast rgb="FFD00000"/>
          <x14:colorHigh rgb="FFD00000"/>
          <x14:colorLow rgb="FFD00000"/>
          <x14:sparklines>
            <x14:sparkline>
              <xm:f>Longliners!D3:N3</xm:f>
              <xm:sqref>C3</xm:sqref>
            </x14:sparkline>
            <x14:sparkline>
              <xm:f>Longliners!D4:N4</xm:f>
              <xm:sqref>C4</xm:sqref>
            </x14:sparkline>
            <x14:sparkline>
              <xm:f>Longliners!D5:N5</xm:f>
              <xm:sqref>C5</xm:sqref>
            </x14:sparkline>
            <x14:sparkline>
              <xm:f>Longliners!D6:N6</xm:f>
              <xm:sqref>C6</xm:sqref>
            </x14:sparkline>
            <x14:sparkline>
              <xm:f>Longliners!D7:N7</xm:f>
              <xm:sqref>C7</xm:sqref>
            </x14:sparkline>
            <x14:sparkline>
              <xm:f>Longliners!D8:N8</xm:f>
              <xm:sqref>C8</xm:sqref>
            </x14:sparkline>
            <x14:sparkline>
              <xm:f>Longliners!D9:N9</xm:f>
              <xm:sqref>C9</xm:sqref>
            </x14:sparkline>
            <x14:sparkline>
              <xm:f>Longliners!D10:N10</xm:f>
              <xm:sqref>C10</xm:sqref>
            </x14:sparkline>
            <x14:sparkline>
              <xm:f>Longliners!D11:N11</xm:f>
              <xm:sqref>C11</xm:sqref>
            </x14:sparkline>
            <x14:sparkline>
              <xm:f>Longliners!D12:N12</xm:f>
              <xm:sqref>C12</xm:sqref>
            </x14:sparkline>
            <x14:sparkline>
              <xm:f>Longliners!D13:N13</xm:f>
              <xm:sqref>C13</xm:sqref>
            </x14:sparkline>
            <x14:sparkline>
              <xm:f>Longliners!D14:N14</xm:f>
              <xm:sqref>C14</xm:sqref>
            </x14:sparkline>
            <x14:sparkline>
              <xm:f>Longliners!D15:N15</xm:f>
              <xm:sqref>C15</xm:sqref>
            </x14:sparkline>
            <x14:sparkline>
              <xm:f>Longliners!D16:N16</xm:f>
              <xm:sqref>C16</xm:sqref>
            </x14:sparkline>
            <x14:sparkline>
              <xm:f>Longliners!D17:N17</xm:f>
              <xm:sqref>C17</xm:sqref>
            </x14:sparkline>
            <x14:sparkline>
              <xm:f>Longliners!D18:N18</xm:f>
              <xm:sqref>C18</xm:sqref>
            </x14:sparkline>
            <x14:sparkline>
              <xm:f>Longliners!D19:N19</xm:f>
              <xm:sqref>C19</xm:sqref>
            </x14:sparkline>
            <x14:sparkline>
              <xm:f>Longliners!D20:N20</xm:f>
              <xm:sqref>C20</xm:sqref>
            </x14:sparkline>
            <x14:sparkline>
              <xm:f>Longliners!D21:N21</xm:f>
              <xm:sqref>C21</xm:sqref>
            </x14:sparkline>
            <x14:sparkline>
              <xm:f>Longliners!D22:N22</xm:f>
              <xm:sqref>C22</xm:sqref>
            </x14:sparkline>
            <x14:sparkline>
              <xm:f>Longliners!D23:N23</xm:f>
              <xm:sqref>C23</xm:sqref>
            </x14:sparkline>
            <x14:sparkline>
              <xm:f>Longliners!D24:N24</xm:f>
              <xm:sqref>C24</xm:sqref>
            </x14:sparkline>
            <x14:sparkline>
              <xm:f>Longliners!D25:N25</xm:f>
              <xm:sqref>C25</xm:sqref>
            </x14:sparkline>
            <x14:sparkline>
              <xm:f>Longliners!D26:N26</xm:f>
              <xm:sqref>C26</xm:sqref>
            </x14:sparkline>
            <x14:sparkline>
              <xm:f>Longliners!D27:N27</xm:f>
              <xm:sqref>C27</xm:sqref>
            </x14:sparkline>
            <x14:sparkline>
              <xm:f>Longliners!D28:N28</xm:f>
              <xm:sqref>C28</xm:sqref>
            </x14:sparkline>
            <x14:sparkline>
              <xm:f>Longliners!D29:N29</xm:f>
              <xm:sqref>C29</xm:sqref>
            </x14:sparkline>
            <x14:sparkline>
              <xm:f>Longliners!D30:N30</xm:f>
              <xm:sqref>C30</xm:sqref>
            </x14:sparkline>
            <x14:sparkline>
              <xm:f>Longliners!D31:N31</xm:f>
              <xm:sqref>C31</xm:sqref>
            </x14:sparkline>
            <x14:sparkline>
              <xm:f>Longliners!D32:N32</xm:f>
              <xm:sqref>C32</xm:sqref>
            </x14:sparkline>
            <x14:sparkline>
              <xm:f>Longliners!D33:N33</xm:f>
              <xm:sqref>C33</xm:sqref>
            </x14:sparkline>
            <x14:sparkline>
              <xm:f>Longliners!D34:N34</xm:f>
              <xm:sqref>C34</xm:sqref>
            </x14:sparkline>
            <x14:sparkline>
              <xm:f>Longliners!D35:N35</xm:f>
              <xm:sqref>C35</xm:sqref>
            </x14:sparkline>
            <x14:sparkline>
              <xm:f>Longliners!D36:N36</xm:f>
              <xm:sqref>C36</xm:sqref>
            </x14:sparkline>
            <x14:sparkline>
              <xm:f>Longliners!D37:N37</xm:f>
              <xm:sqref>C37</xm:sqref>
            </x14:sparkline>
            <x14:sparkline>
              <xm:f>Longliners!D38:N38</xm:f>
              <xm:sqref>C38</xm:sqref>
            </x14:sparkline>
            <x14:sparkline>
              <xm:f>Longliners!D39:N39</xm:f>
              <xm:sqref>C39</xm:sqref>
            </x14:sparkline>
            <x14:sparkline>
              <xm:f>Longliners!D40:N40</xm:f>
              <xm:sqref>C40</xm:sqref>
            </x14:sparkline>
            <x14:sparkline>
              <xm:f>Longliners!D41:N41</xm:f>
              <xm:sqref>C41</xm:sqref>
            </x14:sparkline>
            <x14:sparkline>
              <xm:f>Longliners!D42:N42</xm:f>
              <xm:sqref>C42</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9E3B7-B323-4D1C-917E-429153044164}">
  <sheetPr codeName="Feuil14">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17</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59</v>
      </c>
      <c r="E3" s="28">
        <v>51</v>
      </c>
      <c r="F3" s="28">
        <v>59</v>
      </c>
      <c r="G3" s="28">
        <v>48</v>
      </c>
      <c r="H3" s="28">
        <v>51</v>
      </c>
      <c r="I3" s="28">
        <v>42</v>
      </c>
      <c r="J3" s="28">
        <v>38</v>
      </c>
      <c r="K3" s="28">
        <v>48</v>
      </c>
      <c r="L3" s="28">
        <v>52</v>
      </c>
      <c r="M3" s="28">
        <v>38</v>
      </c>
      <c r="N3" s="28">
        <v>36</v>
      </c>
      <c r="O3" s="29">
        <f t="shared" ref="O3:O42" si="0">IF(N3=0,"",IFERROR(IF(AND(N3&gt;0,D3&lt;0),"na",IF(AND(N3&lt;0,D3&lt;0),-1,1)*(N3-D3)/D3),""))</f>
        <v>-0.38983050847457629</v>
      </c>
      <c r="P3" s="29">
        <f t="shared" ref="P3:P42" si="1">IF(N3=0,"",IFERROR(IF(AND(N3&gt;0,J3&lt;0),"na",IF(AND(N3&lt;0,J3&lt;0),-1,1)*(N3-J3)/J3),""))</f>
        <v>-5.2631578947368418E-2</v>
      </c>
    </row>
    <row r="4" spans="1:17" ht="18" customHeight="1">
      <c r="A4" s="185"/>
      <c r="B4" s="30" t="s">
        <v>190</v>
      </c>
      <c r="C4" s="31"/>
      <c r="D4" s="31">
        <v>7839</v>
      </c>
      <c r="E4" s="31">
        <v>7102</v>
      </c>
      <c r="F4" s="31">
        <v>9012</v>
      </c>
      <c r="G4" s="31">
        <v>5467</v>
      </c>
      <c r="H4" s="31">
        <v>7357</v>
      </c>
      <c r="I4" s="31">
        <v>5583</v>
      </c>
      <c r="J4" s="31">
        <v>5277</v>
      </c>
      <c r="K4" s="31">
        <v>7538</v>
      </c>
      <c r="L4" s="31">
        <v>7017</v>
      </c>
      <c r="M4" s="31">
        <v>4528</v>
      </c>
      <c r="N4" s="31">
        <v>5079</v>
      </c>
      <c r="O4" s="29">
        <f t="shared" si="0"/>
        <v>-0.3520857252200536</v>
      </c>
      <c r="P4" s="29">
        <f t="shared" si="1"/>
        <v>-3.7521318931210912E-2</v>
      </c>
    </row>
    <row r="5" spans="1:17" ht="18" customHeight="1">
      <c r="A5" s="185"/>
      <c r="B5" s="30" t="s">
        <v>191</v>
      </c>
      <c r="C5" s="31"/>
      <c r="D5" s="31">
        <v>1200</v>
      </c>
      <c r="E5" s="31">
        <v>1307</v>
      </c>
      <c r="F5" s="31">
        <v>1579</v>
      </c>
      <c r="G5" s="31">
        <v>738</v>
      </c>
      <c r="H5" s="31">
        <v>1114</v>
      </c>
      <c r="I5" s="31">
        <v>778</v>
      </c>
      <c r="J5" s="31">
        <v>630</v>
      </c>
      <c r="K5" s="31">
        <v>1395</v>
      </c>
      <c r="L5" s="31">
        <v>985</v>
      </c>
      <c r="M5" s="31">
        <v>632</v>
      </c>
      <c r="N5" s="31">
        <v>617</v>
      </c>
      <c r="O5" s="29">
        <f t="shared" si="0"/>
        <v>-0.48583333333333334</v>
      </c>
      <c r="P5" s="29">
        <f t="shared" si="1"/>
        <v>-2.0634920634920634E-2</v>
      </c>
      <c r="Q5" s="32"/>
    </row>
    <row r="6" spans="1:17" ht="18" customHeight="1">
      <c r="A6" s="185"/>
      <c r="B6" s="30" t="s">
        <v>192</v>
      </c>
      <c r="C6" s="31"/>
      <c r="D6" s="31">
        <v>6797.341796875</v>
      </c>
      <c r="E6" s="31">
        <v>6082.8984375</v>
      </c>
      <c r="F6" s="31">
        <v>7784.380859375</v>
      </c>
      <c r="G6" s="31">
        <v>4837.37353515625</v>
      </c>
      <c r="H6" s="31">
        <v>6276.38330078125</v>
      </c>
      <c r="I6" s="31">
        <v>4778.994140625</v>
      </c>
      <c r="J6" s="31">
        <v>4334.62890625</v>
      </c>
      <c r="K6" s="31">
        <v>6318.81787109375</v>
      </c>
      <c r="L6" s="31">
        <v>6042.63671875</v>
      </c>
      <c r="M6" s="31">
        <v>3993.548095703125</v>
      </c>
      <c r="N6" s="31">
        <v>4228.2119140625</v>
      </c>
      <c r="O6" s="29">
        <f t="shared" si="0"/>
        <v>-0.37796096762320058</v>
      </c>
      <c r="P6" s="29">
        <f t="shared" si="1"/>
        <v>-2.4550427381236681E-2</v>
      </c>
    </row>
    <row r="7" spans="1:17" ht="18" customHeight="1">
      <c r="A7" s="185"/>
      <c r="B7" s="30" t="s">
        <v>193</v>
      </c>
      <c r="C7" s="31"/>
      <c r="D7" s="31">
        <v>216.94219970703125</v>
      </c>
      <c r="E7" s="31">
        <v>159.73219299316406</v>
      </c>
      <c r="F7" s="31">
        <v>2177.45556640625</v>
      </c>
      <c r="G7" s="31">
        <v>109.01930236816406</v>
      </c>
      <c r="H7" s="31">
        <v>1426.2872314453125</v>
      </c>
      <c r="I7" s="31">
        <v>103.56159973144531</v>
      </c>
      <c r="J7" s="31">
        <v>76.006599426269531</v>
      </c>
      <c r="K7" s="31">
        <v>83.107803344726563</v>
      </c>
      <c r="L7" s="31">
        <v>90.696701049804688</v>
      </c>
      <c r="M7" s="31">
        <v>59.889900207519531</v>
      </c>
      <c r="N7" s="31">
        <v>42.556400299072266</v>
      </c>
      <c r="O7" s="29">
        <f t="shared" si="0"/>
        <v>-0.80383530564112293</v>
      </c>
      <c r="P7" s="29">
        <f t="shared" si="1"/>
        <v>-0.4400959835026661</v>
      </c>
    </row>
    <row r="8" spans="1:17" ht="18" customHeight="1">
      <c r="A8" s="185"/>
      <c r="B8" s="30" t="s">
        <v>194</v>
      </c>
      <c r="C8" s="33"/>
      <c r="D8" s="33">
        <f ca="1">0.32751384375*OFFSET(D$113,MATCH($N$1,$C$113:$C$114,0)-1,0)</f>
        <v>0.32751384374999998</v>
      </c>
      <c r="E8" s="33">
        <f ca="1">0.34102303125*OFFSET(E$113,MATCH($N$1,$C$113:$C$114,0)-1,0)</f>
        <v>0.34102303125</v>
      </c>
      <c r="F8" s="33">
        <f ca="1">0.3420319375*OFFSET(F$113,MATCH($N$1,$C$113:$C$114,0)-1,0)</f>
        <v>0.34203193749999999</v>
      </c>
      <c r="G8" s="33">
        <f ca="1">0.29195634375*OFFSET(G$113,MATCH($N$1,$C$113:$C$114,0)-1,0)</f>
        <v>0.29195634375000001</v>
      </c>
      <c r="H8" s="33">
        <f ca="1">0.27126609375*OFFSET(H$113,MATCH($N$1,$C$113:$C$114,0)-1,0)</f>
        <v>0.27126609374999999</v>
      </c>
      <c r="I8" s="33">
        <f ca="1">0.210977109375*OFFSET(I$113,MATCH($N$1,$C$113:$C$114,0)-1,0)</f>
        <v>0.210977109375</v>
      </c>
      <c r="J8" s="33">
        <f ca="1">0.195844640625*OFFSET(J$113,MATCH($N$1,$C$113:$C$114,0)-1,0)</f>
        <v>0.19584464062500001</v>
      </c>
      <c r="K8" s="33">
        <f ca="1">0.21334025*OFFSET(K$113,MATCH($N$1,$C$113:$C$114,0)-1,0)</f>
        <v>0.21334025000000001</v>
      </c>
      <c r="L8" s="33">
        <f ca="1">0.224443734375*OFFSET(L$113,MATCH($N$1,$C$113:$C$114,0)-1,0)</f>
        <v>0.22444373437500001</v>
      </c>
      <c r="M8" s="33">
        <f ca="1">0.154064453125*OFFSET(M$113,MATCH($N$1,$C$113:$C$114,0)-1,0)</f>
        <v>0.154064453125</v>
      </c>
      <c r="N8" s="33">
        <v>0.11456596093749999</v>
      </c>
      <c r="O8" s="29">
        <f t="shared" ca="1" si="0"/>
        <v>-0.65019505854857473</v>
      </c>
      <c r="P8" s="29">
        <f t="shared" ca="1" si="1"/>
        <v>-0.41501610372443665</v>
      </c>
    </row>
    <row r="9" spans="1:17" ht="18" customHeight="1">
      <c r="A9" s="185"/>
      <c r="B9" s="30" t="s">
        <v>195</v>
      </c>
      <c r="C9" s="31"/>
      <c r="D9" s="31">
        <v>1095</v>
      </c>
      <c r="E9" s="31">
        <v>1051</v>
      </c>
      <c r="F9" s="31">
        <v>1943</v>
      </c>
      <c r="G9" s="31">
        <v>1064</v>
      </c>
      <c r="H9" s="31">
        <v>1075</v>
      </c>
      <c r="I9" s="31">
        <v>987</v>
      </c>
      <c r="J9" s="31">
        <v>817</v>
      </c>
      <c r="K9" s="31">
        <v>619</v>
      </c>
      <c r="L9" s="31">
        <v>1106</v>
      </c>
      <c r="M9" s="31">
        <v>718</v>
      </c>
      <c r="N9" s="31">
        <v>356</v>
      </c>
      <c r="O9" s="29">
        <f t="shared" si="0"/>
        <v>-0.67488584474885849</v>
      </c>
      <c r="P9" s="29">
        <f t="shared" si="1"/>
        <v>-0.56425948592411257</v>
      </c>
    </row>
    <row r="10" spans="1:17" ht="18" customHeight="1">
      <c r="A10" s="185"/>
      <c r="B10" s="30" t="s">
        <v>196</v>
      </c>
      <c r="C10" s="31"/>
      <c r="D10" s="31">
        <v>447.8</v>
      </c>
      <c r="E10" s="31">
        <v>441.8</v>
      </c>
      <c r="F10" s="31">
        <v>766.25</v>
      </c>
      <c r="G10" s="31">
        <v>396.35</v>
      </c>
      <c r="H10" s="31">
        <v>413</v>
      </c>
      <c r="I10" s="31">
        <v>321.2</v>
      </c>
      <c r="J10" s="31">
        <v>253.1</v>
      </c>
      <c r="K10" s="31">
        <v>249.9</v>
      </c>
      <c r="L10" s="31">
        <v>440.6</v>
      </c>
      <c r="M10" s="31">
        <v>212.4</v>
      </c>
      <c r="N10" s="31">
        <v>138.70000000000002</v>
      </c>
      <c r="O10" s="29">
        <f t="shared" si="0"/>
        <v>-0.69026351049575707</v>
      </c>
      <c r="P10" s="29">
        <f t="shared" si="1"/>
        <v>-0.45199525879099162</v>
      </c>
    </row>
    <row r="11" spans="1:17" ht="18" customHeight="1">
      <c r="A11" s="185"/>
      <c r="B11" s="30" t="s">
        <v>197</v>
      </c>
      <c r="C11" s="31"/>
      <c r="D11" s="31">
        <v>7.9805483818054199</v>
      </c>
      <c r="E11" s="31">
        <v>14.725282669067383</v>
      </c>
      <c r="F11" s="31">
        <v>13.65349006652832</v>
      </c>
      <c r="G11" s="31">
        <v>10.720318794250488</v>
      </c>
      <c r="H11" s="31">
        <v>7.0329666137695313</v>
      </c>
      <c r="I11" s="31">
        <v>11.531200408935547</v>
      </c>
      <c r="J11" s="31">
        <v>10.343554496765137</v>
      </c>
      <c r="K11" s="31">
        <v>5.6027750968933105</v>
      </c>
      <c r="L11" s="31">
        <v>7.013308048248291</v>
      </c>
      <c r="M11" s="31">
        <v>2.7884140014648438</v>
      </c>
      <c r="N11" s="31">
        <v>2.0611107349395752</v>
      </c>
      <c r="O11" s="34">
        <f t="shared" si="0"/>
        <v>-0.74173319472147659</v>
      </c>
      <c r="P11" s="34">
        <f t="shared" si="1"/>
        <v>-0.80073477298503426</v>
      </c>
    </row>
    <row r="12" spans="1:17" ht="18" customHeight="1">
      <c r="A12" s="186" t="s">
        <v>198</v>
      </c>
      <c r="B12" s="35" t="s">
        <v>199</v>
      </c>
      <c r="C12" s="36"/>
      <c r="D12" s="36">
        <v>12.24864387512207</v>
      </c>
      <c r="E12" s="36">
        <v>12.565097808837891</v>
      </c>
      <c r="F12" s="36">
        <v>13.085762977600098</v>
      </c>
      <c r="G12" s="36">
        <v>11.747916221618652</v>
      </c>
      <c r="H12" s="36">
        <v>12.49980354309082</v>
      </c>
      <c r="I12" s="36">
        <v>12.202618598937988</v>
      </c>
      <c r="J12" s="36">
        <v>11.930000305175781</v>
      </c>
      <c r="K12" s="36">
        <v>12.737500190734863</v>
      </c>
      <c r="L12" s="36">
        <v>12.280769348144531</v>
      </c>
      <c r="M12" s="36">
        <v>11.908946990966797</v>
      </c>
      <c r="N12" s="36">
        <v>12.271944046020508</v>
      </c>
      <c r="O12" s="29">
        <f t="shared" si="0"/>
        <v>1.9022653557396606E-3</v>
      </c>
      <c r="P12" s="29">
        <f t="shared" si="1"/>
        <v>2.8662508977168735E-2</v>
      </c>
    </row>
    <row r="13" spans="1:17" ht="18" customHeight="1">
      <c r="A13" s="187"/>
      <c r="B13" s="37" t="s">
        <v>190</v>
      </c>
      <c r="C13" s="31"/>
      <c r="D13" s="31">
        <v>132.86441040039063</v>
      </c>
      <c r="E13" s="31">
        <v>139.25489807128906</v>
      </c>
      <c r="F13" s="31">
        <v>152.74575805664063</v>
      </c>
      <c r="G13" s="31">
        <v>113.89583587646484</v>
      </c>
      <c r="H13" s="31">
        <v>144.25489807128906</v>
      </c>
      <c r="I13" s="31">
        <v>132.92857360839844</v>
      </c>
      <c r="J13" s="31">
        <v>138.86842346191406</v>
      </c>
      <c r="K13" s="31">
        <v>157.04167175292969</v>
      </c>
      <c r="L13" s="31">
        <v>134.94230651855469</v>
      </c>
      <c r="M13" s="31">
        <v>119.15789794921875</v>
      </c>
      <c r="N13" s="31">
        <v>141.08332824707031</v>
      </c>
      <c r="O13" s="29">
        <f t="shared" si="0"/>
        <v>6.185943867068501E-2</v>
      </c>
      <c r="P13" s="29">
        <f t="shared" si="1"/>
        <v>1.5949664653345099E-2</v>
      </c>
    </row>
    <row r="14" spans="1:17" ht="18" customHeight="1">
      <c r="A14" s="187"/>
      <c r="B14" s="37" t="s">
        <v>191</v>
      </c>
      <c r="C14" s="31"/>
      <c r="D14" s="31">
        <v>20.338983535766602</v>
      </c>
      <c r="E14" s="31">
        <v>25.627450942993164</v>
      </c>
      <c r="F14" s="31">
        <v>26.762712478637695</v>
      </c>
      <c r="G14" s="31">
        <v>15.375</v>
      </c>
      <c r="H14" s="31">
        <v>21.843137741088867</v>
      </c>
      <c r="I14" s="31">
        <v>18.523809432983398</v>
      </c>
      <c r="J14" s="31">
        <v>16.578947067260742</v>
      </c>
      <c r="K14" s="31">
        <v>29.0625</v>
      </c>
      <c r="L14" s="31">
        <v>18.94230842590332</v>
      </c>
      <c r="M14" s="31">
        <v>16.63157844543457</v>
      </c>
      <c r="N14" s="31">
        <v>17.138889312744141</v>
      </c>
      <c r="O14" s="29">
        <f t="shared" si="0"/>
        <v>-0.15733796221404164</v>
      </c>
      <c r="P14" s="29">
        <f t="shared" si="1"/>
        <v>3.3774294785532177E-2</v>
      </c>
    </row>
    <row r="15" spans="1:17" ht="18" customHeight="1">
      <c r="A15" s="187"/>
      <c r="B15" s="37" t="s">
        <v>192</v>
      </c>
      <c r="C15" s="31"/>
      <c r="D15" s="31">
        <v>115.20918273925781</v>
      </c>
      <c r="E15" s="31">
        <v>119.27252197265625</v>
      </c>
      <c r="F15" s="31">
        <v>131.93865966796875</v>
      </c>
      <c r="G15" s="31">
        <v>100.77861785888672</v>
      </c>
      <c r="H15" s="31">
        <v>123.06634521484375</v>
      </c>
      <c r="I15" s="31">
        <v>113.78558349609375</v>
      </c>
      <c r="J15" s="31">
        <v>114.06918334960938</v>
      </c>
      <c r="K15" s="31">
        <v>131.64204406738281</v>
      </c>
      <c r="L15" s="31">
        <v>116.20455169677734</v>
      </c>
      <c r="M15" s="31">
        <v>105.09336853027344</v>
      </c>
      <c r="N15" s="31">
        <v>117.45033264160156</v>
      </c>
      <c r="O15" s="29">
        <f t="shared" si="0"/>
        <v>1.9452875622040781E-2</v>
      </c>
      <c r="P15" s="29">
        <f t="shared" si="1"/>
        <v>2.9641215906923261E-2</v>
      </c>
    </row>
    <row r="16" spans="1:17" ht="18" customHeight="1">
      <c r="A16" s="187"/>
      <c r="B16" s="37" t="s">
        <v>193</v>
      </c>
      <c r="C16" s="33"/>
      <c r="D16" s="33">
        <v>3.6769864559173584</v>
      </c>
      <c r="E16" s="33">
        <v>3.1320040225982666</v>
      </c>
      <c r="F16" s="33">
        <v>36.906028747558594</v>
      </c>
      <c r="G16" s="33">
        <v>2.271235466003418</v>
      </c>
      <c r="H16" s="33">
        <v>27.966415405273438</v>
      </c>
      <c r="I16" s="33">
        <v>2.4657523632049561</v>
      </c>
      <c r="J16" s="33">
        <v>2.0001735687255859</v>
      </c>
      <c r="K16" s="33">
        <v>1.7314125299453735</v>
      </c>
      <c r="L16" s="33">
        <v>1.7441673278808594</v>
      </c>
      <c r="M16" s="33">
        <v>1.5760500431060791</v>
      </c>
      <c r="N16" s="33">
        <v>1.1821222305297852</v>
      </c>
      <c r="O16" s="29">
        <f t="shared" si="0"/>
        <v>-0.67850786378954397</v>
      </c>
      <c r="P16" s="29">
        <f t="shared" si="1"/>
        <v>-0.40899017514616176</v>
      </c>
    </row>
    <row r="17" spans="1:16" ht="18" customHeight="1">
      <c r="A17" s="187"/>
      <c r="B17" s="37" t="s">
        <v>200</v>
      </c>
      <c r="C17" s="33"/>
      <c r="D17" s="33">
        <f ca="1">5.55108203125*OFFSET(D$113,MATCH($N$1,$C$113:$C$114,0)-1,0)</f>
        <v>5.55108203125</v>
      </c>
      <c r="E17" s="33">
        <f ca="1">6.68672607421875*OFFSET(E$113,MATCH($N$1,$C$113:$C$114,0)-1,0)</f>
        <v>6.6867260742187504</v>
      </c>
      <c r="F17" s="33">
        <f ca="1">5.7971513671875*OFFSET(F$113,MATCH($N$1,$C$113:$C$114,0)-1,0)</f>
        <v>5.7971513671875003</v>
      </c>
      <c r="G17" s="33">
        <f ca="1">6.08242333984375*OFFSET(G$113,MATCH($N$1,$C$113:$C$114,0)-1,0)</f>
        <v>6.0824233398437499</v>
      </c>
      <c r="H17" s="33">
        <f ca="1">5.31894287109375*OFFSET(H$113,MATCH($N$1,$C$113:$C$114,0)-1,0)</f>
        <v>5.3189428710937499</v>
      </c>
      <c r="I17" s="33">
        <f ca="1">5.0232646484375*OFFSET(I$113,MATCH($N$1,$C$113:$C$114,0)-1,0)</f>
        <v>5.0232646484375003</v>
      </c>
      <c r="J17" s="33">
        <f ca="1">5.15380615234375*OFFSET(J$113,MATCH($N$1,$C$113:$C$114,0)-1,0)</f>
        <v>5.1538061523437504</v>
      </c>
      <c r="K17" s="33">
        <f ca="1">4.44458837890625*OFFSET(K$113,MATCH($N$1,$C$113:$C$114,0)-1,0)</f>
        <v>4.4445883789062499</v>
      </c>
      <c r="L17" s="33">
        <f ca="1">4.3162255859375*OFFSET(L$113,MATCH($N$1,$C$113:$C$114,0)-1,0)</f>
        <v>4.3162255859374996</v>
      </c>
      <c r="M17" s="33">
        <f ca="1">4.05432763671875*OFFSET(M$113,MATCH($N$1,$C$113:$C$114,0)-1,0)</f>
        <v>4.0543276367187504</v>
      </c>
      <c r="N17" s="33">
        <v>3.1823879394531249</v>
      </c>
      <c r="O17" s="29">
        <f t="shared" ca="1" si="0"/>
        <v>-0.42670853690545973</v>
      </c>
      <c r="P17" s="29">
        <f t="shared" ca="1" si="1"/>
        <v>-0.38251695050542428</v>
      </c>
    </row>
    <row r="18" spans="1:16" ht="18" customHeight="1">
      <c r="A18" s="187"/>
      <c r="B18" s="37" t="s">
        <v>195</v>
      </c>
      <c r="C18" s="31"/>
      <c r="D18" s="31">
        <v>18.559322357177734</v>
      </c>
      <c r="E18" s="31">
        <v>20.607843399047852</v>
      </c>
      <c r="F18" s="31">
        <v>32.932205200195313</v>
      </c>
      <c r="G18" s="31">
        <v>22.166666030883789</v>
      </c>
      <c r="H18" s="31">
        <v>21.078432083129883</v>
      </c>
      <c r="I18" s="31">
        <v>23.5</v>
      </c>
      <c r="J18" s="31">
        <v>21.5</v>
      </c>
      <c r="K18" s="31">
        <v>12.895833015441895</v>
      </c>
      <c r="L18" s="31">
        <v>21.269229888916016</v>
      </c>
      <c r="M18" s="31">
        <v>18.894737243652344</v>
      </c>
      <c r="N18" s="31">
        <v>9.8888893127441406</v>
      </c>
      <c r="O18" s="29">
        <f t="shared" si="0"/>
        <v>-0.46717400978168488</v>
      </c>
      <c r="P18" s="29">
        <f t="shared" si="1"/>
        <v>-0.54005165987236559</v>
      </c>
    </row>
    <row r="19" spans="1:16" ht="18" customHeight="1">
      <c r="A19" s="187"/>
      <c r="B19" s="37" t="s">
        <v>201</v>
      </c>
      <c r="C19" s="31"/>
      <c r="D19" s="31">
        <v>32.61016845703125</v>
      </c>
      <c r="E19" s="31">
        <v>33.803920745849609</v>
      </c>
      <c r="F19" s="31">
        <v>31.050848007202148</v>
      </c>
      <c r="G19" s="31">
        <v>36.3125</v>
      </c>
      <c r="H19" s="31">
        <v>34.156864166259766</v>
      </c>
      <c r="I19" s="31">
        <v>37.404762268066406</v>
      </c>
      <c r="J19" s="31">
        <v>35.684211730957031</v>
      </c>
      <c r="K19" s="31">
        <v>31.875</v>
      </c>
      <c r="L19" s="31">
        <v>36.5</v>
      </c>
      <c r="M19" s="31">
        <v>42.105262756347656</v>
      </c>
      <c r="N19" s="31">
        <v>35.861110687255859</v>
      </c>
      <c r="O19" s="29">
        <f t="shared" si="0"/>
        <v>9.9691059078955993E-2</v>
      </c>
      <c r="P19" s="29">
        <f t="shared" si="1"/>
        <v>4.9573452156535499E-3</v>
      </c>
    </row>
    <row r="20" spans="1:16" ht="18" customHeight="1">
      <c r="A20" s="187"/>
      <c r="B20" s="37" t="s">
        <v>202</v>
      </c>
      <c r="C20" s="38"/>
      <c r="D20" s="38">
        <v>0.19812072813510895</v>
      </c>
      <c r="E20" s="38">
        <v>0.1519811600446701</v>
      </c>
      <c r="F20" s="38">
        <v>1.1206667423248291</v>
      </c>
      <c r="G20" s="38">
        <v>0.10246175527572632</v>
      </c>
      <c r="H20" s="38">
        <v>1.326778769493103</v>
      </c>
      <c r="I20" s="38">
        <v>0.10492563247680664</v>
      </c>
      <c r="J20" s="38">
        <v>9.3031331896781921E-2</v>
      </c>
      <c r="K20" s="38">
        <v>0.13426139950752258</v>
      </c>
      <c r="L20" s="38">
        <v>8.2004256546497345E-2</v>
      </c>
      <c r="M20" s="38">
        <v>8.3412118256092072E-2</v>
      </c>
      <c r="N20" s="38">
        <v>0.11954044550657272</v>
      </c>
      <c r="O20" s="29">
        <f t="shared" si="0"/>
        <v>-0.39662827493218272</v>
      </c>
      <c r="P20" s="29">
        <f t="shared" si="1"/>
        <v>0.28494823270081321</v>
      </c>
    </row>
    <row r="21" spans="1:16" ht="18" customHeight="1">
      <c r="A21" s="188"/>
      <c r="B21" s="39" t="s">
        <v>203</v>
      </c>
      <c r="C21" s="40"/>
      <c r="D21" s="40">
        <f ca="1">1510*OFFSET(D$113,MATCH($N$1,$C$113:$C$114,0)-1,0)</f>
        <v>1510</v>
      </c>
      <c r="E21" s="40">
        <f ca="1">2135*OFFSET(E$113,MATCH($N$1,$C$113:$C$114,0)-1,0)</f>
        <v>2135</v>
      </c>
      <c r="F21" s="40">
        <f ca="1">157*OFFSET(F$113,MATCH($N$1,$C$113:$C$114,0)-1,0)</f>
        <v>157</v>
      </c>
      <c r="G21" s="40">
        <f ca="1">2678*OFFSET(G$113,MATCH($N$1,$C$113:$C$114,0)-1,0)</f>
        <v>2678</v>
      </c>
      <c r="H21" s="40">
        <f ca="1">190*OFFSET(H$113,MATCH($N$1,$C$113:$C$114,0)-1,0)</f>
        <v>190</v>
      </c>
      <c r="I21" s="40">
        <f ca="1">2037*OFFSET(I$113,MATCH($N$1,$C$113:$C$114,0)-1,0)</f>
        <v>2037</v>
      </c>
      <c r="J21" s="40">
        <f ca="1">2577*OFFSET(J$113,MATCH($N$1,$C$113:$C$114,0)-1,0)</f>
        <v>2577</v>
      </c>
      <c r="K21" s="40">
        <f ca="1">2567*OFFSET(K$113,MATCH($N$1,$C$113:$C$114,0)-1,0)</f>
        <v>2567</v>
      </c>
      <c r="L21" s="40">
        <f ca="1">2475*OFFSET(L$113,MATCH($N$1,$C$113:$C$114,0)-1,0)</f>
        <v>2475</v>
      </c>
      <c r="M21" s="40">
        <f ca="1">2572*OFFSET(M$113,MATCH($N$1,$C$113:$C$114,0)-1,0)</f>
        <v>2572</v>
      </c>
      <c r="N21" s="40">
        <v>2692</v>
      </c>
      <c r="O21" s="34">
        <f t="shared" ca="1" si="0"/>
        <v>0.78278145695364243</v>
      </c>
      <c r="P21" s="34">
        <f t="shared" ca="1" si="1"/>
        <v>4.4625533566162202E-2</v>
      </c>
    </row>
    <row r="22" spans="1:16" ht="18" customHeight="1">
      <c r="A22" s="189" t="s">
        <v>204</v>
      </c>
      <c r="B22" s="35" t="s">
        <v>205</v>
      </c>
      <c r="C22" s="41"/>
      <c r="D22" s="41">
        <v>1.6683498513075961</v>
      </c>
      <c r="E22" s="41">
        <v>1.2378215506561512</v>
      </c>
      <c r="F22" s="41">
        <v>8.7052615844053438</v>
      </c>
      <c r="G22" s="41">
        <v>1.0227430777529332</v>
      </c>
      <c r="H22" s="41">
        <v>11.159695707289167</v>
      </c>
      <c r="I22" s="41">
        <v>1.065316983222641</v>
      </c>
      <c r="J22" s="41">
        <v>0.9181647865833158</v>
      </c>
      <c r="K22" s="41">
        <v>0.98618524970952381</v>
      </c>
      <c r="L22" s="41">
        <v>0.57479006283331124</v>
      </c>
      <c r="M22" s="41">
        <v>0.78122019503364037</v>
      </c>
      <c r="N22" s="41">
        <v>0.92301223488983075</v>
      </c>
      <c r="O22" s="29">
        <f t="shared" si="0"/>
        <v>-0.44675139080307102</v>
      </c>
      <c r="P22" s="29">
        <f t="shared" si="1"/>
        <v>5.2794970765033698E-3</v>
      </c>
    </row>
    <row r="23" spans="1:16" ht="18" customHeight="1">
      <c r="A23" s="189"/>
      <c r="B23" s="37" t="s">
        <v>206</v>
      </c>
      <c r="C23" s="38"/>
      <c r="D23" s="38">
        <f ca="1">2.51867854082744*OFFSET(D$113,MATCH($N$1,$C$113:$C$114,0)-1,0)</f>
        <v>2.5186785408274401</v>
      </c>
      <c r="E23" s="38">
        <f ca="1">2.64270849535369*OFFSET(E$113,MATCH($N$1,$C$113:$C$114,0)-1,0)</f>
        <v>2.6427084953536899</v>
      </c>
      <c r="F23" s="38">
        <f ca="1">1.36741125524373*OFFSET(F$113,MATCH($N$1,$C$113:$C$114,0)-1,0)</f>
        <v>1.3674112552437301</v>
      </c>
      <c r="G23" s="38">
        <f ca="1">2.73893062163847*OFFSET(G$113,MATCH($N$1,$C$113:$C$114,0)-1,0)</f>
        <v>2.7389306216384699</v>
      </c>
      <c r="H23" s="38">
        <f ca="1">2.12246664671471*OFFSET(H$113,MATCH($N$1,$C$113:$C$114,0)-1,0)</f>
        <v>2.12246664671471</v>
      </c>
      <c r="I23" s="38">
        <f ca="1">2.17027841930028*OFFSET(I$113,MATCH($N$1,$C$113:$C$114,0)-1,0)</f>
        <v>2.17027841930028</v>
      </c>
      <c r="J23" s="38">
        <f ca="1">2.36581634711507*OFFSET(J$113,MATCH($N$1,$C$113:$C$114,0)-1,0)</f>
        <v>2.3658163471150702</v>
      </c>
      <c r="K23" s="38">
        <f ca="1">2.53156739049705*OFFSET(K$113,MATCH($N$1,$C$113:$C$114,0)-1,0)</f>
        <v>2.5315673904970502</v>
      </c>
      <c r="L23" s="38">
        <f ca="1">1.42241144876739*OFFSET(L$113,MATCH($N$1,$C$113:$C$114,0)-1,0)</f>
        <v>1.42241144876739</v>
      </c>
      <c r="M23" s="38">
        <f ca="1">2.00965866594283*OFFSET(M$113,MATCH($N$1,$C$113:$C$114,0)-1,0)</f>
        <v>2.0096586659428302</v>
      </c>
      <c r="N23" s="38">
        <v>2.4848386473238402</v>
      </c>
      <c r="O23" s="29">
        <f t="shared" ca="1" si="0"/>
        <v>-1.3435574629735327E-2</v>
      </c>
      <c r="P23" s="29">
        <f t="shared" ca="1" si="1"/>
        <v>5.0309188350105241E-2</v>
      </c>
    </row>
    <row r="24" spans="1:16" ht="18" customHeight="1">
      <c r="A24" s="189"/>
      <c r="B24" s="37" t="s">
        <v>153</v>
      </c>
      <c r="C24" s="38"/>
      <c r="D24" s="38">
        <f ca="1">3.75142717568481*OFFSET(D$113,MATCH($N$1,$C$113:$C$114,0)-1,0)</f>
        <v>3.7514271756848099</v>
      </c>
      <c r="E24" s="38">
        <f ca="1">4.1078139027023*OFFSET(E$113,MATCH($N$1,$C$113:$C$114,0)-1,0)</f>
        <v>4.1078139027022997</v>
      </c>
      <c r="F24" s="38">
        <f ca="1">3.18865919420449*OFFSET(F$113,MATCH($N$1,$C$113:$C$114,0)-1,0)</f>
        <v>3.1886591942044902</v>
      </c>
      <c r="G24" s="38">
        <f ca="1">4.96215834422352*OFFSET(G$113,MATCH($N$1,$C$113:$C$114,0)-1,0)</f>
        <v>4.9621583442235204</v>
      </c>
      <c r="H24" s="38">
        <f ca="1">3.17045673522815*OFFSET(H$113,MATCH($N$1,$C$113:$C$114,0)-1,0)</f>
        <v>3.1704567352281501</v>
      </c>
      <c r="I24" s="38">
        <f ca="1">4.73160173899331*OFFSET(I$113,MATCH($N$1,$C$113:$C$114,0)-1,0)</f>
        <v>4.7316017389933096</v>
      </c>
      <c r="J24" s="38">
        <f ca="1">4.17032519903798*OFFSET(J$113,MATCH($N$1,$C$113:$C$114,0)-1,0)</f>
        <v>4.1703251990379799</v>
      </c>
      <c r="K24" s="38">
        <f ca="1">4.24145434207495*OFFSET(K$113,MATCH($N$1,$C$113:$C$114,0)-1,0)</f>
        <v>4.2414543420749498</v>
      </c>
      <c r="L24" s="38">
        <f ca="1">2.91774271876687*OFFSET(L$113,MATCH($N$1,$C$113:$C$114,0)-1,0)</f>
        <v>2.9177427187668701</v>
      </c>
      <c r="M24" s="38">
        <f ca="1">3.92648544208398*OFFSET(M$113,MATCH($N$1,$C$113:$C$114,0)-1,0)</f>
        <v>3.9264854420839801</v>
      </c>
      <c r="N24" s="38">
        <v>5.6450258280945764</v>
      </c>
      <c r="O24" s="29">
        <f t="shared" ca="1" si="0"/>
        <v>0.50476753612152869</v>
      </c>
      <c r="P24" s="29">
        <f t="shared" ca="1" si="1"/>
        <v>0.35361765777805138</v>
      </c>
    </row>
    <row r="25" spans="1:16" ht="18" customHeight="1">
      <c r="A25" s="189"/>
      <c r="B25" s="37" t="s">
        <v>154</v>
      </c>
      <c r="C25" s="38"/>
      <c r="D25" s="38">
        <f ca="1">-1.10852251107595*OFFSET(D$113,MATCH($N$1,$C$113:$C$114,0)-1,0)</f>
        <v>-1.10852251107595</v>
      </c>
      <c r="E25" s="38">
        <f ca="1">-1.42165756908291*OFFSET(E$113,MATCH($N$1,$C$113:$C$114,0)-1,0)</f>
        <v>-1.4216575690829101</v>
      </c>
      <c r="F25" s="38">
        <f ca="1">-1.786790874946*OFFSET(F$113,MATCH($N$1,$C$113:$C$114,0)-1,0)</f>
        <v>-1.786790874946</v>
      </c>
      <c r="G25" s="38">
        <f ca="1">-2.01886125569983*OFFSET(G$113,MATCH($N$1,$C$113:$C$114,0)-1,0)</f>
        <v>-2.01886125569983</v>
      </c>
      <c r="H25" s="38">
        <f ca="1">-0.942410929309273*OFFSET(H$113,MATCH($N$1,$C$113:$C$114,0)-1,0)</f>
        <v>-0.94241092930927295</v>
      </c>
      <c r="I25" s="38">
        <f ca="1">-2.4533658351867*OFFSET(I$113,MATCH($N$1,$C$113:$C$114,0)-1,0)</f>
        <v>-2.4533658351867</v>
      </c>
      <c r="J25" s="38">
        <f ca="1">-1.65163018384116*OFFSET(J$113,MATCH($N$1,$C$113:$C$114,0)-1,0)</f>
        <v>-1.65163018384116</v>
      </c>
      <c r="K25" s="38">
        <f ca="1">-1.7098869515779*OFFSET(K$113,MATCH($N$1,$C$113:$C$114,0)-1,0)</f>
        <v>-1.7098869515779</v>
      </c>
      <c r="L25" s="38">
        <f ca="1">0.289468179291848*OFFSET(L$113,MATCH($N$1,$C$113:$C$114,0)-1,0)</f>
        <v>0.28946817929184798</v>
      </c>
      <c r="M25" s="38">
        <f ca="1">-1.91682677614115*OFFSET(M$113,MATCH($N$1,$C$113:$C$114,0)-1,0)</f>
        <v>-1.9168267761411499</v>
      </c>
      <c r="N25" s="38">
        <v>-3.1601871807707367</v>
      </c>
      <c r="O25" s="29">
        <f t="shared" ca="1" si="0"/>
        <v>-1.8508101091275153</v>
      </c>
      <c r="P25" s="29">
        <f t="shared" ca="1" si="1"/>
        <v>-0.91337456271303952</v>
      </c>
    </row>
    <row r="26" spans="1:16" ht="18" customHeight="1">
      <c r="A26" s="189"/>
      <c r="B26" s="37" t="s">
        <v>207</v>
      </c>
      <c r="C26" s="33"/>
      <c r="D26" s="33">
        <f ca="1">41.4*OFFSET(D$113,MATCH($N$1,$C$113:$C$114,0)-1,0)</f>
        <v>41.4</v>
      </c>
      <c r="E26" s="33">
        <f ca="1">23.2*OFFSET(E$113,MATCH($N$1,$C$113:$C$114,0)-1,0)</f>
        <v>23.2</v>
      </c>
      <c r="F26" s="33">
        <f ca="1">25.06*OFFSET(F$113,MATCH($N$1,$C$113:$C$114,0)-1,0)</f>
        <v>25.06</v>
      </c>
      <c r="G26" s="33">
        <f ca="1">27.31*OFFSET(G$113,MATCH($N$1,$C$113:$C$114,0)-1,0)</f>
        <v>27.31</v>
      </c>
      <c r="H26" s="33">
        <f ca="1">38.43*OFFSET(H$113,MATCH($N$1,$C$113:$C$114,0)-1,0)</f>
        <v>38.43</v>
      </c>
      <c r="I26" s="33">
        <f ca="1">18.21*OFFSET(I$113,MATCH($N$1,$C$113:$C$114,0)-1,0)</f>
        <v>18.21</v>
      </c>
      <c r="J26" s="33">
        <f ca="1">19.1*OFFSET(J$113,MATCH($N$1,$C$113:$C$114,0)-1,0)</f>
        <v>19.100000000000001</v>
      </c>
      <c r="K26" s="33">
        <f ca="1">37.7*OFFSET(K$113,MATCH($N$1,$C$113:$C$114,0)-1,0)</f>
        <v>37.700000000000003</v>
      </c>
      <c r="L26" s="33">
        <f ca="1">31.88*OFFSET(L$113,MATCH($N$1,$C$113:$C$114,0)-1,0)</f>
        <v>31.88</v>
      </c>
      <c r="M26" s="33">
        <f ca="1">55.87*OFFSET(M$113,MATCH($N$1,$C$113:$C$114,0)-1,0)</f>
        <v>55.87</v>
      </c>
      <c r="N26" s="33">
        <v>55.89</v>
      </c>
      <c r="O26" s="29">
        <f t="shared" ca="1" si="0"/>
        <v>0.35000000000000003</v>
      </c>
      <c r="P26" s="29">
        <f t="shared" ca="1" si="1"/>
        <v>1.9261780104712041</v>
      </c>
    </row>
    <row r="27" spans="1:16" ht="18" customHeight="1">
      <c r="A27" s="190"/>
      <c r="B27" s="37" t="s">
        <v>208</v>
      </c>
      <c r="C27" s="33"/>
      <c r="D27" s="33">
        <f ca="1">-17.74*OFFSET(D$113,MATCH($N$1,$C$113:$C$114,0)-1,0)</f>
        <v>-17.739999999999998</v>
      </c>
      <c r="E27" s="33">
        <f ca="1">-12.47*OFFSET(E$113,MATCH($N$1,$C$113:$C$114,0)-1,0)</f>
        <v>-12.47</v>
      </c>
      <c r="F27" s="33">
        <f ca="1">-32.84*OFFSET(F$113,MATCH($N$1,$C$113:$C$114,0)-1,0)</f>
        <v>-32.840000000000003</v>
      </c>
      <c r="G27" s="33">
        <f ca="1">-20.15*OFFSET(G$113,MATCH($N$1,$C$113:$C$114,0)-1,0)</f>
        <v>-20.149999999999999</v>
      </c>
      <c r="H27" s="33">
        <f ca="1">-17.4*OFFSET(H$113,MATCH($N$1,$C$113:$C$114,0)-1,0)</f>
        <v>-17.399999999999999</v>
      </c>
      <c r="I27" s="33">
        <f ca="1">-20.76*OFFSET(I$113,MATCH($N$1,$C$113:$C$114,0)-1,0)</f>
        <v>-20.76</v>
      </c>
      <c r="J27" s="33">
        <f ca="1">-13.23*OFFSET(J$113,MATCH($N$1,$C$113:$C$114,0)-1,0)</f>
        <v>-13.23</v>
      </c>
      <c r="K27" s="33">
        <f ca="1">-25.7*OFFSET(K$113,MATCH($N$1,$C$113:$C$114,0)-1,0)</f>
        <v>-25.7</v>
      </c>
      <c r="L27" s="33">
        <f ca="1">6.67*OFFSET(L$113,MATCH($N$1,$C$113:$C$114,0)-1,0)</f>
        <v>6.67</v>
      </c>
      <c r="M27" s="33">
        <f ca="1">-53.15*OFFSET(M$113,MATCH($N$1,$C$113:$C$114,0)-1,0)</f>
        <v>-53.15</v>
      </c>
      <c r="N27" s="33">
        <v>-69.87</v>
      </c>
      <c r="O27" s="34">
        <f t="shared" ca="1" si="0"/>
        <v>-2.9385569334836537</v>
      </c>
      <c r="P27" s="34">
        <f t="shared" ca="1" si="1"/>
        <v>-4.2811791383219955</v>
      </c>
    </row>
    <row r="28" spans="1:16" s="78" customFormat="1" ht="18" customHeight="1">
      <c r="A28" s="191" t="s">
        <v>209</v>
      </c>
      <c r="B28" s="82" t="s">
        <v>200</v>
      </c>
      <c r="C28" s="83"/>
      <c r="D28" s="83">
        <f ca="1">5.6*OFFSET(D$113,MATCH($N$1,$C$113:$C$114,0)-1,0)</f>
        <v>5.6</v>
      </c>
      <c r="E28" s="83">
        <f ca="1">6.7*OFFSET(E$113,MATCH($N$1,$C$113:$C$114,0)-1,0)</f>
        <v>6.7</v>
      </c>
      <c r="F28" s="83">
        <f ca="1">5.8*OFFSET(F$113,MATCH($N$1,$C$113:$C$114,0)-1,0)</f>
        <v>5.8</v>
      </c>
      <c r="G28" s="83">
        <f ca="1">6.1*OFFSET(G$113,MATCH($N$1,$C$113:$C$114,0)-1,0)</f>
        <v>6.1</v>
      </c>
      <c r="H28" s="83">
        <f ca="1">5.3*OFFSET(H$113,MATCH($N$1,$C$113:$C$114,0)-1,0)</f>
        <v>5.3</v>
      </c>
      <c r="I28" s="83">
        <f ca="1">5*OFFSET(I$113,MATCH($N$1,$C$113:$C$114,0)-1,0)</f>
        <v>5</v>
      </c>
      <c r="J28" s="83">
        <f ca="1">5.2*OFFSET(J$113,MATCH($N$1,$C$113:$C$114,0)-1,0)</f>
        <v>5.2</v>
      </c>
      <c r="K28" s="83">
        <f ca="1">4.4*OFFSET(K$113,MATCH($N$1,$C$113:$C$114,0)-1,0)</f>
        <v>4.4000000000000004</v>
      </c>
      <c r="L28" s="83">
        <f ca="1">4.3*OFFSET(L$113,MATCH($N$1,$C$113:$C$114,0)-1,0)</f>
        <v>4.3</v>
      </c>
      <c r="M28" s="83">
        <f ca="1">4.1*OFFSET(M$113,MATCH($N$1,$C$113:$C$114,0)-1,0)</f>
        <v>4.0999999999999996</v>
      </c>
      <c r="N28" s="83">
        <v>3.2</v>
      </c>
      <c r="O28" s="84">
        <f t="shared" ca="1" si="0"/>
        <v>-0.42857142857142849</v>
      </c>
      <c r="P28" s="84">
        <f t="shared" ca="1" si="1"/>
        <v>-0.38461538461538458</v>
      </c>
    </row>
    <row r="29" spans="1:16" s="78" customFormat="1" ht="18" customHeight="1">
      <c r="A29" s="192"/>
      <c r="B29" s="85" t="s">
        <v>210</v>
      </c>
      <c r="C29" s="86"/>
      <c r="D29" s="86">
        <f ca="1">0.3*OFFSET(D$113,MATCH($N$1,$C$113:$C$114,0)-1,0)</f>
        <v>0.3</v>
      </c>
      <c r="E29" s="86">
        <f ca="1">0.1*OFFSET(E$113,MATCH($N$1,$C$113:$C$114,0)-1,0)</f>
        <v>0.1</v>
      </c>
      <c r="F29" s="86">
        <f ca="1">0.1*OFFSET(F$113,MATCH($N$1,$C$113:$C$114,0)-1,0)</f>
        <v>0.1</v>
      </c>
      <c r="G29" s="86">
        <f ca="1">0.5*OFFSET(G$113,MATCH($N$1,$C$113:$C$114,0)-1,0)</f>
        <v>0.5</v>
      </c>
      <c r="H29" s="86">
        <f ca="1">0.3*OFFSET(H$113,MATCH($N$1,$C$113:$C$114,0)-1,0)</f>
        <v>0.3</v>
      </c>
      <c r="I29" s="86">
        <f ca="1">0.2*OFFSET(I$113,MATCH($N$1,$C$113:$C$114,0)-1,0)</f>
        <v>0.2</v>
      </c>
      <c r="J29" s="86">
        <f ca="1">0.3*OFFSET(J$113,MATCH($N$1,$C$113:$C$114,0)-1,0)</f>
        <v>0.3</v>
      </c>
      <c r="K29" s="86"/>
      <c r="L29" s="86">
        <f ca="1">5.4*OFFSET(L$113,MATCH($N$1,$C$113:$C$114,0)-1,0)</f>
        <v>5.4</v>
      </c>
      <c r="M29" s="86"/>
      <c r="N29" s="86"/>
      <c r="O29" s="84" t="str">
        <f t="shared" si="0"/>
        <v/>
      </c>
      <c r="P29" s="84" t="str">
        <f t="shared" si="1"/>
        <v/>
      </c>
    </row>
    <row r="30" spans="1:16" s="78" customFormat="1" ht="18" customHeight="1">
      <c r="A30" s="192"/>
      <c r="B30" s="87" t="s">
        <v>211</v>
      </c>
      <c r="C30" s="88"/>
      <c r="D30" s="88">
        <f ca="1">5.8*OFFSET(D$113,MATCH($N$1,$C$113:$C$114,0)-1,0)</f>
        <v>5.8</v>
      </c>
      <c r="E30" s="88">
        <f ca="1">6.8*OFFSET(E$113,MATCH($N$1,$C$113:$C$114,0)-1,0)</f>
        <v>6.8</v>
      </c>
      <c r="F30" s="88">
        <f ca="1">5.9*OFFSET(F$113,MATCH($N$1,$C$113:$C$114,0)-1,0)</f>
        <v>5.9</v>
      </c>
      <c r="G30" s="88">
        <f ca="1">6.5*OFFSET(G$113,MATCH($N$1,$C$113:$C$114,0)-1,0)</f>
        <v>6.5</v>
      </c>
      <c r="H30" s="88">
        <f ca="1">5.6*OFFSET(H$113,MATCH($N$1,$C$113:$C$114,0)-1,0)</f>
        <v>5.6</v>
      </c>
      <c r="I30" s="88">
        <f ca="1">5.3*OFFSET(I$113,MATCH($N$1,$C$113:$C$114,0)-1,0)</f>
        <v>5.3</v>
      </c>
      <c r="J30" s="88">
        <f ca="1">5.5*OFFSET(J$113,MATCH($N$1,$C$113:$C$114,0)-1,0)</f>
        <v>5.5</v>
      </c>
      <c r="K30" s="88">
        <f ca="1">4.4*OFFSET(K$113,MATCH($N$1,$C$113:$C$114,0)-1,0)</f>
        <v>4.4000000000000004</v>
      </c>
      <c r="L30" s="88">
        <f ca="1">9.7*OFFSET(L$113,MATCH($N$1,$C$113:$C$114,0)-1,0)</f>
        <v>9.6999999999999993</v>
      </c>
      <c r="M30" s="88">
        <f ca="1">4.1*OFFSET(M$113,MATCH($N$1,$C$113:$C$114,0)-1,0)</f>
        <v>4.0999999999999996</v>
      </c>
      <c r="N30" s="88">
        <v>3.2</v>
      </c>
      <c r="O30" s="84">
        <f t="shared" ca="1" si="0"/>
        <v>-0.44827586206896547</v>
      </c>
      <c r="P30" s="84">
        <f t="shared" ca="1" si="1"/>
        <v>-0.41818181818181815</v>
      </c>
    </row>
    <row r="31" spans="1:16" s="78" customFormat="1" ht="18" customHeight="1">
      <c r="A31" s="192"/>
      <c r="B31" s="85" t="s">
        <v>212</v>
      </c>
      <c r="C31" s="86"/>
      <c r="D31" s="86">
        <f ca="1">5.3*OFFSET(D$113,MATCH($N$1,$C$113:$C$114,0)-1,0)</f>
        <v>5.3</v>
      </c>
      <c r="E31" s="86">
        <f ca="1">5.8*OFFSET(E$113,MATCH($N$1,$C$113:$C$114,0)-1,0)</f>
        <v>5.8</v>
      </c>
      <c r="F31" s="86">
        <f ca="1">8*OFFSET(F$113,MATCH($N$1,$C$113:$C$114,0)-1,0)</f>
        <v>8</v>
      </c>
      <c r="G31" s="86">
        <f ca="1">3.4*OFFSET(G$113,MATCH($N$1,$C$113:$C$114,0)-1,0)</f>
        <v>3.4</v>
      </c>
      <c r="H31" s="86">
        <f ca="1">3.2*OFFSET(H$113,MATCH($N$1,$C$113:$C$114,0)-1,0)</f>
        <v>3.2</v>
      </c>
      <c r="I31" s="86">
        <f ca="1">3.7*OFFSET(I$113,MATCH($N$1,$C$113:$C$114,0)-1,0)</f>
        <v>3.7</v>
      </c>
      <c r="J31" s="86">
        <f ca="1">3.9*OFFSET(J$113,MATCH($N$1,$C$113:$C$114,0)-1,0)</f>
        <v>3.9</v>
      </c>
      <c r="K31" s="86">
        <f ca="1">2.8*OFFSET(K$113,MATCH($N$1,$C$113:$C$114,0)-1,0)</f>
        <v>2.8</v>
      </c>
      <c r="L31" s="86">
        <f ca="1">3.3*OFFSET(L$113,MATCH($N$1,$C$113:$C$114,0)-1,0)</f>
        <v>3.3</v>
      </c>
      <c r="M31" s="86">
        <f ca="1">2.6*OFFSET(M$113,MATCH($N$1,$C$113:$C$114,0)-1,0)</f>
        <v>2.6</v>
      </c>
      <c r="N31" s="86">
        <v>3.2</v>
      </c>
      <c r="O31" s="84">
        <f t="shared" ca="1" si="0"/>
        <v>-0.39622641509433959</v>
      </c>
      <c r="P31" s="84">
        <f t="shared" ca="1" si="1"/>
        <v>-0.17948717948717943</v>
      </c>
    </row>
    <row r="32" spans="1:16" s="78" customFormat="1" ht="18" customHeight="1">
      <c r="A32" s="192"/>
      <c r="B32" s="85" t="s">
        <v>213</v>
      </c>
      <c r="C32" s="86"/>
      <c r="D32" s="86">
        <f ca="1">1.2*OFFSET(D$113,MATCH($N$1,$C$113:$C$114,0)-1,0)</f>
        <v>1.2</v>
      </c>
      <c r="E32" s="86">
        <f ca="1">1.2*OFFSET(E$113,MATCH($N$1,$C$113:$C$114,0)-1,0)</f>
        <v>1.2</v>
      </c>
      <c r="F32" s="86">
        <f ca="1">2*OFFSET(F$113,MATCH($N$1,$C$113:$C$114,0)-1,0)</f>
        <v>2</v>
      </c>
      <c r="G32" s="86">
        <f ca="1">2.1*OFFSET(G$113,MATCH($N$1,$C$113:$C$114,0)-1,0)</f>
        <v>2.1</v>
      </c>
      <c r="H32" s="86">
        <f ca="1">1*OFFSET(H$113,MATCH($N$1,$C$113:$C$114,0)-1,0)</f>
        <v>1</v>
      </c>
      <c r="I32" s="86">
        <f ca="1">2.8*OFFSET(I$113,MATCH($N$1,$C$113:$C$114,0)-1,0)</f>
        <v>2.8</v>
      </c>
      <c r="J32" s="86">
        <f ca="1">1.6*OFFSET(J$113,MATCH($N$1,$C$113:$C$114,0)-1,0)</f>
        <v>1.6</v>
      </c>
      <c r="K32" s="86">
        <f ca="1">2.7*OFFSET(K$113,MATCH($N$1,$C$113:$C$114,0)-1,0)</f>
        <v>2.7</v>
      </c>
      <c r="L32" s="86">
        <f ca="1">2.6*OFFSET(L$113,MATCH($N$1,$C$113:$C$114,0)-1,0)</f>
        <v>2.6</v>
      </c>
      <c r="M32" s="86">
        <f ca="1">2.5*OFFSET(M$113,MATCH($N$1,$C$113:$C$114,0)-1,0)</f>
        <v>2.5</v>
      </c>
      <c r="N32" s="86">
        <v>1.9000000000000001</v>
      </c>
      <c r="O32" s="84">
        <f t="shared" ca="1" si="0"/>
        <v>0.58333333333333348</v>
      </c>
      <c r="P32" s="84">
        <f t="shared" ca="1" si="1"/>
        <v>0.18750000000000003</v>
      </c>
    </row>
    <row r="33" spans="1:16" s="78" customFormat="1" ht="18" customHeight="1">
      <c r="A33" s="192"/>
      <c r="B33" s="85" t="s">
        <v>214</v>
      </c>
      <c r="C33" s="86"/>
      <c r="D33" s="86">
        <f ca="1">0.7*OFFSET(D$113,MATCH($N$1,$C$113:$C$114,0)-1,0)</f>
        <v>0.7</v>
      </c>
      <c r="E33" s="86">
        <f ca="1">2*OFFSET(E$113,MATCH($N$1,$C$113:$C$114,0)-1,0)</f>
        <v>2</v>
      </c>
      <c r="F33" s="86">
        <f ca="1">1.4*OFFSET(F$113,MATCH($N$1,$C$113:$C$114,0)-1,0)</f>
        <v>1.4</v>
      </c>
      <c r="G33" s="86">
        <f ca="1">1.9*OFFSET(G$113,MATCH($N$1,$C$113:$C$114,0)-1,0)</f>
        <v>1.9</v>
      </c>
      <c r="H33" s="86">
        <f ca="1">1.5*OFFSET(H$113,MATCH($N$1,$C$113:$C$114,0)-1,0)</f>
        <v>1.5</v>
      </c>
      <c r="I33" s="86">
        <f ca="1">1.7*OFFSET(I$113,MATCH($N$1,$C$113:$C$114,0)-1,0)</f>
        <v>1.7</v>
      </c>
      <c r="J33" s="86">
        <f ca="1">1.3*OFFSET(J$113,MATCH($N$1,$C$113:$C$114,0)-1,0)</f>
        <v>1.3</v>
      </c>
      <c r="K33" s="86"/>
      <c r="L33" s="86">
        <f ca="1">1.1*OFFSET(L$113,MATCH($N$1,$C$113:$C$114,0)-1,0)</f>
        <v>1.1000000000000001</v>
      </c>
      <c r="M33" s="86">
        <f ca="1">1.1*OFFSET(M$113,MATCH($N$1,$C$113:$C$114,0)-1,0)</f>
        <v>1.1000000000000001</v>
      </c>
      <c r="N33" s="86">
        <v>0.8</v>
      </c>
      <c r="O33" s="84">
        <f t="shared" ca="1" si="0"/>
        <v>0.14285714285714299</v>
      </c>
      <c r="P33" s="84">
        <f t="shared" ca="1" si="1"/>
        <v>-0.38461538461538458</v>
      </c>
    </row>
    <row r="34" spans="1:16" s="78" customFormat="1" ht="18" customHeight="1">
      <c r="A34" s="192"/>
      <c r="B34" s="85" t="s">
        <v>215</v>
      </c>
      <c r="C34" s="86"/>
      <c r="D34" s="86">
        <f ca="1">7.2*OFFSET(D$113,MATCH($N$1,$C$113:$C$114,0)-1,0)</f>
        <v>7.2</v>
      </c>
      <c r="E34" s="86">
        <f ca="1">9*OFFSET(E$113,MATCH($N$1,$C$113:$C$114,0)-1,0)</f>
        <v>9</v>
      </c>
      <c r="F34" s="86">
        <f ca="1">11.4*OFFSET(F$113,MATCH($N$1,$C$113:$C$114,0)-1,0)</f>
        <v>11.4</v>
      </c>
      <c r="G34" s="86">
        <f ca="1">7.5*OFFSET(G$113,MATCH($N$1,$C$113:$C$114,0)-1,0)</f>
        <v>7.5</v>
      </c>
      <c r="H34" s="86">
        <f ca="1">5.7*OFFSET(H$113,MATCH($N$1,$C$113:$C$114,0)-1,0)</f>
        <v>5.7</v>
      </c>
      <c r="I34" s="86">
        <f ca="1">8.2*OFFSET(I$113,MATCH($N$1,$C$113:$C$114,0)-1,0)</f>
        <v>8.1999999999999993</v>
      </c>
      <c r="J34" s="86">
        <f ca="1">6.8*OFFSET(J$113,MATCH($N$1,$C$113:$C$114,0)-1,0)</f>
        <v>6.8</v>
      </c>
      <c r="K34" s="86">
        <f ca="1">5.5*OFFSET(K$113,MATCH($N$1,$C$113:$C$114,0)-1,0)</f>
        <v>5.5</v>
      </c>
      <c r="L34" s="86">
        <f ca="1">7*OFFSET(L$113,MATCH($N$1,$C$113:$C$114,0)-1,0)</f>
        <v>7</v>
      </c>
      <c r="M34" s="86">
        <f ca="1">6.2*OFFSET(M$113,MATCH($N$1,$C$113:$C$114,0)-1,0)</f>
        <v>6.2</v>
      </c>
      <c r="N34" s="86">
        <v>5.9</v>
      </c>
      <c r="O34" s="84">
        <f t="shared" ca="1" si="0"/>
        <v>-0.18055555555555552</v>
      </c>
      <c r="P34" s="84">
        <f t="shared" ca="1" si="1"/>
        <v>-0.13235294117647051</v>
      </c>
    </row>
    <row r="35" spans="1:16" s="78" customFormat="1" ht="18" customHeight="1">
      <c r="A35" s="192"/>
      <c r="B35" s="85" t="s">
        <v>216</v>
      </c>
      <c r="C35" s="86"/>
      <c r="D35" s="86">
        <f ca="1">1.1*OFFSET(D$113,MATCH($N$1,$C$113:$C$114,0)-1,0)</f>
        <v>1.1000000000000001</v>
      </c>
      <c r="E35" s="86">
        <f ca="1">1.3*OFFSET(E$113,MATCH($N$1,$C$113:$C$114,0)-1,0)</f>
        <v>1.3</v>
      </c>
      <c r="F35" s="86">
        <f ca="1">2.2*OFFSET(F$113,MATCH($N$1,$C$113:$C$114,0)-1,0)</f>
        <v>2.2000000000000002</v>
      </c>
      <c r="G35" s="86">
        <f ca="1">3.5*OFFSET(G$113,MATCH($N$1,$C$113:$C$114,0)-1,0)</f>
        <v>3.5</v>
      </c>
      <c r="H35" s="86">
        <f ca="1">2.3*OFFSET(H$113,MATCH($N$1,$C$113:$C$114,0)-1,0)</f>
        <v>2.2999999999999998</v>
      </c>
      <c r="I35" s="86">
        <f ca="1">2.7*OFFSET(I$113,MATCH($N$1,$C$113:$C$114,0)-1,0)</f>
        <v>2.7</v>
      </c>
      <c r="J35" s="86">
        <f ca="1">2.3*OFFSET(J$113,MATCH($N$1,$C$113:$C$114,0)-1,0)</f>
        <v>2.2999999999999998</v>
      </c>
      <c r="K35" s="86">
        <f ca="1">1.9*OFFSET(K$113,MATCH($N$1,$C$113:$C$114,0)-1,0)</f>
        <v>1.9</v>
      </c>
      <c r="L35" s="86">
        <f ca="1">1.9*OFFSET(L$113,MATCH($N$1,$C$113:$C$114,0)-1,0)</f>
        <v>1.9</v>
      </c>
      <c r="M35" s="86">
        <f ca="1">1.7*OFFSET(M$113,MATCH($N$1,$C$113:$C$114,0)-1,0)</f>
        <v>1.7</v>
      </c>
      <c r="N35" s="86">
        <v>1.4000000000000001</v>
      </c>
      <c r="O35" s="84">
        <f t="shared" ca="1" si="0"/>
        <v>0.27272727272727276</v>
      </c>
      <c r="P35" s="84">
        <f t="shared" ca="1" si="1"/>
        <v>-0.39130434782608686</v>
      </c>
    </row>
    <row r="36" spans="1:16" s="78" customFormat="1" ht="18" customHeight="1">
      <c r="A36" s="192"/>
      <c r="B36" s="85" t="s">
        <v>217</v>
      </c>
      <c r="C36" s="86"/>
      <c r="D36" s="86">
        <f ca="1">8.3*OFFSET(D$113,MATCH($N$1,$C$113:$C$114,0)-1,0)</f>
        <v>8.3000000000000007</v>
      </c>
      <c r="E36" s="86">
        <f ca="1">10.4*OFFSET(E$113,MATCH($N$1,$C$113:$C$114,0)-1,0)</f>
        <v>10.4</v>
      </c>
      <c r="F36" s="86">
        <f ca="1">13.5*OFFSET(F$113,MATCH($N$1,$C$113:$C$114,0)-1,0)</f>
        <v>13.5</v>
      </c>
      <c r="G36" s="86">
        <f ca="1">11*OFFSET(G$113,MATCH($N$1,$C$113:$C$114,0)-1,0)</f>
        <v>11</v>
      </c>
      <c r="H36" s="86">
        <f ca="1">7.9*OFFSET(H$113,MATCH($N$1,$C$113:$C$114,0)-1,0)</f>
        <v>7.9</v>
      </c>
      <c r="I36" s="86">
        <f ca="1">11*OFFSET(I$113,MATCH($N$1,$C$113:$C$114,0)-1,0)</f>
        <v>11</v>
      </c>
      <c r="J36" s="86">
        <f ca="1">9.1*OFFSET(J$113,MATCH($N$1,$C$113:$C$114,0)-1,0)</f>
        <v>9.1</v>
      </c>
      <c r="K36" s="86">
        <f ca="1">7.4*OFFSET(K$113,MATCH($N$1,$C$113:$C$114,0)-1,0)</f>
        <v>7.4</v>
      </c>
      <c r="L36" s="86">
        <f ca="1">8.9*OFFSET(L$113,MATCH($N$1,$C$113:$C$114,0)-1,0)</f>
        <v>8.9</v>
      </c>
      <c r="M36" s="86">
        <f ca="1">7.9*OFFSET(M$113,MATCH($N$1,$C$113:$C$114,0)-1,0)</f>
        <v>7.9</v>
      </c>
      <c r="N36" s="86">
        <v>7.2</v>
      </c>
      <c r="O36" s="84">
        <f t="shared" ca="1" si="0"/>
        <v>-0.13253012048192778</v>
      </c>
      <c r="P36" s="84">
        <f t="shared" ca="1" si="1"/>
        <v>-0.20879120879120874</v>
      </c>
    </row>
    <row r="37" spans="1:16" s="78" customFormat="1" ht="18" customHeight="1">
      <c r="A37" s="192"/>
      <c r="B37" s="87" t="s">
        <v>218</v>
      </c>
      <c r="C37" s="88"/>
      <c r="D37" s="88">
        <f ca="1">-1.2*OFFSET(D$113,MATCH($N$1,$C$113:$C$114,0)-1,0)</f>
        <v>-1.2</v>
      </c>
      <c r="E37" s="88">
        <f ca="1">-2.4*OFFSET(E$113,MATCH($N$1,$C$113:$C$114,0)-1,0)</f>
        <v>-2.4</v>
      </c>
      <c r="F37" s="88">
        <f ca="1">-5.6*OFFSET(F$113,MATCH($N$1,$C$113:$C$114,0)-1,0)</f>
        <v>-5.6</v>
      </c>
      <c r="G37" s="88">
        <f ca="1">-2.4*OFFSET(G$113,MATCH($N$1,$C$113:$C$114,0)-1,0)</f>
        <v>-2.4</v>
      </c>
      <c r="H37" s="88">
        <f ca="1">-1.4*OFFSET(H$113,MATCH($N$1,$C$113:$C$114,0)-1,0)</f>
        <v>-1.4</v>
      </c>
      <c r="I37" s="88">
        <f ca="1">-2.9*OFFSET(I$113,MATCH($N$1,$C$113:$C$114,0)-1,0)</f>
        <v>-2.9</v>
      </c>
      <c r="J37" s="88">
        <f ca="1">-2*OFFSET(J$113,MATCH($N$1,$C$113:$C$114,0)-1,0)</f>
        <v>-2</v>
      </c>
      <c r="K37" s="88">
        <f ca="1">-0.3*OFFSET(K$113,MATCH($N$1,$C$113:$C$114,0)-1,0)</f>
        <v>-0.3</v>
      </c>
      <c r="L37" s="88">
        <f ca="1">3.5*OFFSET(L$113,MATCH($N$1,$C$113:$C$114,0)-1,0)</f>
        <v>3.5</v>
      </c>
      <c r="M37" s="88">
        <f ca="1">-1.4*OFFSET(M$113,MATCH($N$1,$C$113:$C$114,0)-1,0)</f>
        <v>-1.4</v>
      </c>
      <c r="N37" s="88">
        <v>-2.0999999999999996</v>
      </c>
      <c r="O37" s="84">
        <f t="shared" ca="1" si="0"/>
        <v>-0.74999999999999978</v>
      </c>
      <c r="P37" s="84">
        <f t="shared" ca="1" si="1"/>
        <v>-4.9999999999999822E-2</v>
      </c>
    </row>
    <row r="38" spans="1:16" s="78" customFormat="1" ht="18" customHeight="1">
      <c r="A38" s="192"/>
      <c r="B38" s="87" t="s">
        <v>219</v>
      </c>
      <c r="C38" s="88"/>
      <c r="D38" s="88">
        <f ca="1">-2.4*OFFSET(D$113,MATCH($N$1,$C$113:$C$114,0)-1,0)</f>
        <v>-2.4</v>
      </c>
      <c r="E38" s="88">
        <f ca="1">-3.6*OFFSET(E$113,MATCH($N$1,$C$113:$C$114,0)-1,0)</f>
        <v>-3.6</v>
      </c>
      <c r="F38" s="88">
        <f ca="1">-7.6*OFFSET(F$113,MATCH($N$1,$C$113:$C$114,0)-1,0)</f>
        <v>-7.6</v>
      </c>
      <c r="G38" s="88">
        <f ca="1">-4.5*OFFSET(G$113,MATCH($N$1,$C$113:$C$114,0)-1,0)</f>
        <v>-4.5</v>
      </c>
      <c r="H38" s="88">
        <f ca="1">-2.4*OFFSET(H$113,MATCH($N$1,$C$113:$C$114,0)-1,0)</f>
        <v>-2.4</v>
      </c>
      <c r="I38" s="88">
        <f ca="1">-5.7*OFFSET(I$113,MATCH($N$1,$C$113:$C$114,0)-1,0)</f>
        <v>-5.7</v>
      </c>
      <c r="J38" s="88">
        <f ca="1">-3.6*OFFSET(J$113,MATCH($N$1,$C$113:$C$114,0)-1,0)</f>
        <v>-3.6</v>
      </c>
      <c r="K38" s="88">
        <f ca="1">-3*OFFSET(K$113,MATCH($N$1,$C$113:$C$114,0)-1,0)</f>
        <v>-3</v>
      </c>
      <c r="L38" s="88">
        <f ca="1">0.9*OFFSET(L$113,MATCH($N$1,$C$113:$C$114,0)-1,0)</f>
        <v>0.9</v>
      </c>
      <c r="M38" s="88">
        <f ca="1">-3.9*OFFSET(M$113,MATCH($N$1,$C$113:$C$114,0)-1,0)</f>
        <v>-3.9</v>
      </c>
      <c r="N38" s="88">
        <v>-4</v>
      </c>
      <c r="O38" s="84">
        <f t="shared" ca="1" si="0"/>
        <v>-0.66666666666666674</v>
      </c>
      <c r="P38" s="84">
        <f t="shared" ca="1" si="1"/>
        <v>-0.11111111111111108</v>
      </c>
    </row>
    <row r="39" spans="1:16" s="78" customFormat="1" ht="18" customHeight="1">
      <c r="A39" s="192"/>
      <c r="B39" s="85" t="s">
        <v>220</v>
      </c>
      <c r="C39" s="86"/>
      <c r="D39" s="86">
        <f ca="1">0.4*OFFSET(D$113,MATCH($N$1,$C$113:$C$114,0)-1,0)</f>
        <v>0.4</v>
      </c>
      <c r="E39" s="86">
        <f ca="1">0.1*OFFSET(E$113,MATCH($N$1,$C$113:$C$114,0)-1,0)</f>
        <v>0.1</v>
      </c>
      <c r="F39" s="86">
        <f ca="1">0.3*OFFSET(F$113,MATCH($N$1,$C$113:$C$114,0)-1,0)</f>
        <v>0.3</v>
      </c>
      <c r="G39" s="86">
        <f ca="1">0.1*OFFSET(G$113,MATCH($N$1,$C$113:$C$114,0)-1,0)</f>
        <v>0.1</v>
      </c>
      <c r="H39" s="86"/>
      <c r="I39" s="86">
        <f ca="1">0.4*OFFSET(I$113,MATCH($N$1,$C$113:$C$114,0)-1,0)</f>
        <v>0.4</v>
      </c>
      <c r="J39" s="86"/>
      <c r="K39" s="86">
        <f ca="1">0.6*OFFSET(K$113,MATCH($N$1,$C$113:$C$114,0)-1,0)</f>
        <v>0.6</v>
      </c>
      <c r="L39" s="86"/>
      <c r="M39" s="86"/>
      <c r="N39" s="86"/>
      <c r="O39" s="84" t="str">
        <f t="shared" si="0"/>
        <v/>
      </c>
      <c r="P39" s="84" t="str">
        <f t="shared" si="1"/>
        <v/>
      </c>
    </row>
    <row r="40" spans="1:16" s="78" customFormat="1" ht="18" customHeight="1">
      <c r="A40" s="192"/>
      <c r="B40" s="85" t="s">
        <v>221</v>
      </c>
      <c r="C40" s="86"/>
      <c r="D40" s="86">
        <f ca="1">0.2*OFFSET(D$113,MATCH($N$1,$C$113:$C$114,0)-1,0)</f>
        <v>0.2</v>
      </c>
      <c r="E40" s="86"/>
      <c r="F40" s="86">
        <f ca="1">0.3*OFFSET(F$113,MATCH($N$1,$C$113:$C$114,0)-1,0)</f>
        <v>0.3</v>
      </c>
      <c r="G40" s="86"/>
      <c r="H40" s="86"/>
      <c r="I40" s="86"/>
      <c r="J40" s="86"/>
      <c r="K40" s="86"/>
      <c r="L40" s="86"/>
      <c r="M40" s="86"/>
      <c r="N40" s="86"/>
      <c r="O40" s="84" t="str">
        <f t="shared" si="0"/>
        <v/>
      </c>
      <c r="P40" s="84" t="str">
        <f t="shared" si="1"/>
        <v/>
      </c>
    </row>
    <row r="41" spans="1:16" s="78" customFormat="1" ht="18" customHeight="1">
      <c r="A41" s="192"/>
      <c r="B41" s="85" t="s">
        <v>222</v>
      </c>
      <c r="C41" s="86"/>
      <c r="D41" s="86"/>
      <c r="E41" s="86"/>
      <c r="F41" s="86">
        <f ca="1">0.2*OFFSET(F$113,MATCH($N$1,$C$113:$C$114,0)-1,0)</f>
        <v>0.2</v>
      </c>
      <c r="G41" s="86"/>
      <c r="H41" s="86"/>
      <c r="I41" s="86">
        <f ca="1">0.1*OFFSET(I$113,MATCH($N$1,$C$113:$C$114,0)-1,0)</f>
        <v>0.1</v>
      </c>
      <c r="J41" s="86">
        <f ca="1">0.6*OFFSET(J$113,MATCH($N$1,$C$113:$C$114,0)-1,0)</f>
        <v>0.6</v>
      </c>
      <c r="K41" s="86"/>
      <c r="L41" s="86"/>
      <c r="M41" s="86"/>
      <c r="N41" s="86"/>
      <c r="O41" s="84" t="str">
        <f t="shared" si="0"/>
        <v/>
      </c>
      <c r="P41" s="84" t="str">
        <f t="shared" si="1"/>
        <v/>
      </c>
    </row>
    <row r="42" spans="1:16" s="78" customFormat="1" ht="18" customHeight="1" thickBot="1">
      <c r="A42" s="193"/>
      <c r="B42" s="89" t="s">
        <v>223</v>
      </c>
      <c r="C42" s="90"/>
      <c r="D42" s="90">
        <f ca="1">-3*OFFSET(D$113,MATCH($N$1,$C$113:$C$114,0)-1,0)</f>
        <v>-3</v>
      </c>
      <c r="E42" s="90">
        <f ca="1">-3.7*OFFSET(E$113,MATCH($N$1,$C$113:$C$114,0)-1,0)</f>
        <v>-3.7</v>
      </c>
      <c r="F42" s="90">
        <f ca="1">-8.4*OFFSET(F$113,MATCH($N$1,$C$113:$C$114,0)-1,0)</f>
        <v>-8.4</v>
      </c>
      <c r="G42" s="90">
        <f ca="1">-4.6*OFFSET(G$113,MATCH($N$1,$C$113:$C$114,0)-1,0)</f>
        <v>-4.5999999999999996</v>
      </c>
      <c r="H42" s="90"/>
      <c r="I42" s="90">
        <f ca="1">-6.2*OFFSET(I$113,MATCH($N$1,$C$113:$C$114,0)-1,0)</f>
        <v>-6.2</v>
      </c>
      <c r="J42" s="90">
        <f ca="1">-4.3*OFFSET(J$113,MATCH($N$1,$C$113:$C$114,0)-1,0)</f>
        <v>-4.3</v>
      </c>
      <c r="K42" s="90">
        <f ca="1">-3.6*OFFSET(K$113,MATCH($N$1,$C$113:$C$114,0)-1,0)</f>
        <v>-3.6</v>
      </c>
      <c r="L42" s="90"/>
      <c r="M42" s="90"/>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157</v>
      </c>
      <c r="F47" s="99" t="s">
        <v>157</v>
      </c>
      <c r="G47" s="99" t="s">
        <v>157</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Low activity over 10m</v>
      </c>
      <c r="C49" s="101"/>
      <c r="D49" s="101"/>
      <c r="E49" s="101"/>
      <c r="F49" s="101"/>
      <c r="G49" s="101"/>
      <c r="K49" s="101" t="str">
        <f>$B25&amp;CHAR(10)&amp;$A$1</f>
        <v>Operating profit per kW day at sea (£)
Low activity over 10m</v>
      </c>
    </row>
    <row r="50" spans="1:11" s="78" customFormat="1">
      <c r="A50" s="101" t="str">
        <f>$B23&amp;CHAR(10)&amp;$A$1</f>
        <v>Fishing income per kW day at sea (£)
Low activity over 10m</v>
      </c>
    </row>
    <row r="51" spans="1:11" s="78" customFormat="1">
      <c r="A51" s="101" t="str">
        <f>$B21&amp;CHAR(10)&amp;$A$1</f>
        <v>Average price per tonne landed (£)
Low activity over 10m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Low activity over 10m</v>
      </c>
      <c r="F63" s="101" t="str">
        <f>$B21&amp;CHAR(10)&amp;$A$1</f>
        <v>Average price per tonne landed (£)
Low activity over 10m</v>
      </c>
      <c r="K63" s="101" t="str">
        <f>"Average annual operating profit per vessel (£'000)"&amp;CHAR(10)&amp;$A$1</f>
        <v>Average annual operating profit per vessel (£'000)
Low activity over 10m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Low activity over 10m</v>
      </c>
      <c r="F77" s="101" t="str">
        <f>"Top 5 landed species by value in "&amp;A78&amp;CHAR(10)&amp;A1</f>
        <v>Top 5 landed species by value in 2021
Low activity over 10m</v>
      </c>
    </row>
    <row r="78" spans="1:11" s="101" customFormat="1">
      <c r="A78" s="101">
        <v>2021</v>
      </c>
      <c r="B78" s="101" t="s">
        <v>372</v>
      </c>
      <c r="C78" s="102">
        <v>0.27722538497041166</v>
      </c>
      <c r="D78" s="103">
        <v>12153634</v>
      </c>
      <c r="G78" s="101" t="s">
        <v>373</v>
      </c>
      <c r="H78" s="102">
        <v>0.28095745901994906</v>
      </c>
      <c r="I78" s="103">
        <v>12153634</v>
      </c>
      <c r="K78" s="101" t="s">
        <v>237</v>
      </c>
    </row>
    <row r="79" spans="1:11" s="101" customFormat="1">
      <c r="B79" s="101" t="s">
        <v>374</v>
      </c>
      <c r="C79" s="102">
        <v>0.22506799140726702</v>
      </c>
      <c r="D79" s="103">
        <v>553960</v>
      </c>
      <c r="G79" s="101" t="s">
        <v>375</v>
      </c>
      <c r="H79" s="102">
        <v>0.16827195114165622</v>
      </c>
      <c r="I79" s="103">
        <v>553960</v>
      </c>
    </row>
    <row r="80" spans="1:11" s="101" customFormat="1">
      <c r="B80" s="101" t="s">
        <v>376</v>
      </c>
      <c r="C80" s="102">
        <v>0.10066972762290015</v>
      </c>
      <c r="D80" s="103">
        <v>11115023</v>
      </c>
      <c r="G80" s="101" t="s">
        <v>377</v>
      </c>
      <c r="H80" s="102">
        <v>0.10914643914081806</v>
      </c>
      <c r="I80" s="103">
        <v>3050596</v>
      </c>
    </row>
    <row r="81" spans="1:19" s="101" customFormat="1">
      <c r="B81" s="101" t="s">
        <v>378</v>
      </c>
      <c r="C81" s="102">
        <v>7.5688888721866007E-2</v>
      </c>
      <c r="D81" s="103">
        <v>1692097</v>
      </c>
      <c r="G81" s="101" t="s">
        <v>379</v>
      </c>
      <c r="H81" s="102">
        <v>9.1514724190739985E-2</v>
      </c>
      <c r="I81" s="103">
        <v>1692097</v>
      </c>
    </row>
    <row r="82" spans="1:19" s="101" customFormat="1">
      <c r="B82" s="101" t="s">
        <v>380</v>
      </c>
      <c r="C82" s="102">
        <v>5.5852489602082271E-2</v>
      </c>
      <c r="D82" s="103">
        <v>2480382</v>
      </c>
      <c r="G82" s="101" t="s">
        <v>381</v>
      </c>
      <c r="H82" s="102">
        <v>7.8786971680309181E-2</v>
      </c>
      <c r="I82" s="103">
        <v>3689192</v>
      </c>
    </row>
    <row r="83" spans="1:19" s="101" customFormat="1">
      <c r="B83" s="101" t="s">
        <v>382</v>
      </c>
      <c r="C83" s="102">
        <v>0.26549551767547297</v>
      </c>
      <c r="D83" s="103">
        <v>5920853</v>
      </c>
      <c r="G83" s="101" t="s">
        <v>383</v>
      </c>
      <c r="H83" s="102">
        <v>0.27132245482652739</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0.18243408290724794</v>
      </c>
      <c r="E93" s="107">
        <v>0.18791105648816606</v>
      </c>
      <c r="F93" s="107">
        <v>0.1479101253587721</v>
      </c>
      <c r="G93" s="107">
        <v>0.1726981446089699</v>
      </c>
      <c r="H93" s="107">
        <v>0.2942545415167292</v>
      </c>
      <c r="I93" s="107">
        <v>0.14578068724894411</v>
      </c>
      <c r="J93" s="107">
        <v>0.14047492590846739</v>
      </c>
      <c r="K93" s="107">
        <v>0.24966633038046004</v>
      </c>
      <c r="L93" s="107">
        <v>0.28095745901994906</v>
      </c>
      <c r="M93" s="107">
        <v>0.24319532627321747</v>
      </c>
      <c r="O93" s="101">
        <v>12153634</v>
      </c>
    </row>
    <row r="94" spans="1:19" s="101" customFormat="1" hidden="1">
      <c r="B94" s="101">
        <v>2</v>
      </c>
      <c r="C94" s="101" t="s">
        <v>176</v>
      </c>
      <c r="D94" s="107">
        <v>0.11018051864684249</v>
      </c>
      <c r="E94" s="107">
        <v>0.11077788842554562</v>
      </c>
      <c r="F94" s="107">
        <v>0.25377021699513247</v>
      </c>
      <c r="G94" s="107">
        <v>4.4323655479391759E-2</v>
      </c>
      <c r="H94" s="107"/>
      <c r="I94" s="107"/>
      <c r="J94" s="107">
        <v>9.0398081938629207E-2</v>
      </c>
      <c r="K94" s="107">
        <v>0.22962654706015853</v>
      </c>
      <c r="L94" s="107">
        <v>0.16827195114165622</v>
      </c>
      <c r="M94" s="107">
        <v>0.10229325621164063</v>
      </c>
      <c r="O94" s="101">
        <v>553960</v>
      </c>
    </row>
    <row r="95" spans="1:19" s="101" customFormat="1" hidden="1">
      <c r="B95" s="101">
        <v>3</v>
      </c>
      <c r="C95" s="101" t="s">
        <v>166</v>
      </c>
      <c r="D95" s="107">
        <v>0.13093354749730893</v>
      </c>
      <c r="E95" s="107">
        <v>0.11935368911297346</v>
      </c>
      <c r="F95" s="107">
        <v>0.17189958457712481</v>
      </c>
      <c r="G95" s="107">
        <v>0.18529451122812782</v>
      </c>
      <c r="H95" s="107">
        <v>0.17679904812794184</v>
      </c>
      <c r="I95" s="107">
        <v>0.14687566986411357</v>
      </c>
      <c r="J95" s="107">
        <v>0.13849508761313536</v>
      </c>
      <c r="K95" s="107">
        <v>0.12299410304027461</v>
      </c>
      <c r="L95" s="107">
        <v>0.10914643914081806</v>
      </c>
      <c r="M95" s="107">
        <v>0.10940780362404491</v>
      </c>
      <c r="O95" s="101">
        <v>3050596</v>
      </c>
    </row>
    <row r="96" spans="1:19" s="101" customFormat="1" hidden="1">
      <c r="B96" s="101">
        <v>4</v>
      </c>
      <c r="C96" s="101" t="s">
        <v>170</v>
      </c>
      <c r="D96" s="107">
        <v>6.5130747948062437E-2</v>
      </c>
      <c r="E96" s="107"/>
      <c r="F96" s="107"/>
      <c r="G96" s="107">
        <v>0.18443587113741675</v>
      </c>
      <c r="H96" s="107">
        <v>7.0964130497267602E-2</v>
      </c>
      <c r="I96" s="107">
        <v>6.0882421323311765E-2</v>
      </c>
      <c r="J96" s="107">
        <v>0.29065590375359041</v>
      </c>
      <c r="K96" s="107">
        <v>6.4932969610689811E-2</v>
      </c>
      <c r="L96" s="107">
        <v>9.1514724190739985E-2</v>
      </c>
      <c r="M96" s="107">
        <v>0.19309274140177027</v>
      </c>
      <c r="O96" s="101">
        <v>1692097</v>
      </c>
    </row>
    <row r="97" spans="1:15" s="101" customFormat="1" hidden="1">
      <c r="B97" s="101">
        <v>5</v>
      </c>
      <c r="C97" s="101" t="s">
        <v>175</v>
      </c>
      <c r="D97" s="107">
        <v>7.6980014632669541E-2</v>
      </c>
      <c r="E97" s="107">
        <v>6.9236043148250881E-2</v>
      </c>
      <c r="F97" s="107">
        <v>5.2181443588873562E-2</v>
      </c>
      <c r="G97" s="107">
        <v>8.1172967577082783E-2</v>
      </c>
      <c r="H97" s="107"/>
      <c r="I97" s="107"/>
      <c r="J97" s="107"/>
      <c r="K97" s="107">
        <v>8.8358756580290576E-2</v>
      </c>
      <c r="L97" s="107">
        <v>7.8786971680309181E-2</v>
      </c>
      <c r="M97" s="107"/>
      <c r="O97" s="101">
        <v>3689192</v>
      </c>
    </row>
    <row r="98" spans="1:15" s="101" customFormat="1" hidden="1">
      <c r="B98" s="101">
        <v>6</v>
      </c>
      <c r="C98" s="101" t="s">
        <v>174</v>
      </c>
      <c r="D98" s="107"/>
      <c r="E98" s="107"/>
      <c r="F98" s="107"/>
      <c r="G98" s="107"/>
      <c r="H98" s="107">
        <v>5.3371752918666797E-2</v>
      </c>
      <c r="I98" s="107">
        <v>0.17880253310801256</v>
      </c>
      <c r="J98" s="107">
        <v>9.4960389369965079E-2</v>
      </c>
      <c r="K98" s="107"/>
      <c r="L98" s="107"/>
      <c r="M98" s="107">
        <v>8.1367887617688581E-2</v>
      </c>
      <c r="O98" s="101">
        <v>11115023</v>
      </c>
    </row>
    <row r="99" spans="1:15" s="101" customFormat="1" hidden="1">
      <c r="B99" s="101">
        <v>7</v>
      </c>
      <c r="C99" s="101" t="s">
        <v>384</v>
      </c>
      <c r="D99" s="107"/>
      <c r="E99" s="107">
        <v>9.0349804918228582E-2</v>
      </c>
      <c r="F99" s="107"/>
      <c r="G99" s="107"/>
      <c r="H99" s="107">
        <v>7.6817324198253878E-2</v>
      </c>
      <c r="I99" s="107">
        <v>7.0896790603074772E-2</v>
      </c>
      <c r="J99" s="107"/>
      <c r="K99" s="107"/>
      <c r="L99" s="107"/>
      <c r="M99" s="107"/>
      <c r="O99" s="101">
        <v>2480382</v>
      </c>
    </row>
    <row r="100" spans="1:15" s="101" customFormat="1" hidden="1">
      <c r="B100" s="101">
        <v>8</v>
      </c>
      <c r="C100" s="101" t="s">
        <v>308</v>
      </c>
      <c r="D100" s="107"/>
      <c r="E100" s="107"/>
      <c r="F100" s="107">
        <v>4.8595179059425599E-2</v>
      </c>
      <c r="G100" s="107"/>
      <c r="H100" s="107"/>
      <c r="I100" s="107"/>
      <c r="J100" s="107"/>
      <c r="K100" s="107"/>
      <c r="L100" s="107"/>
      <c r="M100" s="107"/>
      <c r="O100" s="101">
        <v>7434864</v>
      </c>
    </row>
    <row r="101" spans="1:15" s="101" customFormat="1" hidden="1">
      <c r="B101" s="101">
        <v>9</v>
      </c>
      <c r="C101" s="101" t="s">
        <v>251</v>
      </c>
      <c r="D101" s="107">
        <v>0.43434108836786867</v>
      </c>
      <c r="E101" s="107">
        <v>0.42237151790683541</v>
      </c>
      <c r="F101" s="107">
        <v>0.32564345042067144</v>
      </c>
      <c r="G101" s="107">
        <v>0.33207484996901104</v>
      </c>
      <c r="H101" s="107">
        <v>0.32779320274114065</v>
      </c>
      <c r="I101" s="107">
        <v>0.39676189785254323</v>
      </c>
      <c r="J101" s="107">
        <v>0.24501561141621256</v>
      </c>
      <c r="K101" s="107">
        <v>0.24442129332812645</v>
      </c>
      <c r="L101" s="107">
        <v>0.2713224548265275</v>
      </c>
      <c r="M101" s="107">
        <v>0.27064298487163813</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10</v>
      </c>
      <c r="D121" s="52">
        <v>18</v>
      </c>
      <c r="E121" s="52">
        <v>10</v>
      </c>
      <c r="F121" s="53">
        <v>38</v>
      </c>
    </row>
    <row r="122" spans="1:15" ht="18" customHeight="1">
      <c r="A122" s="186" t="s">
        <v>198</v>
      </c>
      <c r="B122" s="35" t="s">
        <v>199</v>
      </c>
      <c r="C122" s="54">
        <v>12.076999664306641</v>
      </c>
      <c r="D122" s="54">
        <v>12.062777519226074</v>
      </c>
      <c r="E122" s="54">
        <v>11.46399974822998</v>
      </c>
      <c r="F122" s="55">
        <v>11.908946990966797</v>
      </c>
    </row>
    <row r="123" spans="1:15" ht="18" customHeight="1">
      <c r="A123" s="187"/>
      <c r="B123" s="37" t="s">
        <v>190</v>
      </c>
      <c r="C123" s="56">
        <v>126.80000305175781</v>
      </c>
      <c r="D123" s="56">
        <v>114.61111068725586</v>
      </c>
      <c r="E123" s="56">
        <v>119.69999694824219</v>
      </c>
      <c r="F123" s="57">
        <v>119.15789794921875</v>
      </c>
    </row>
    <row r="124" spans="1:15" ht="18" customHeight="1">
      <c r="A124" s="187"/>
      <c r="B124" s="37" t="s">
        <v>191</v>
      </c>
      <c r="C124" s="56">
        <v>16.700000762939453</v>
      </c>
      <c r="D124" s="56">
        <v>17</v>
      </c>
      <c r="E124" s="56">
        <v>15.899999618530273</v>
      </c>
      <c r="F124" s="57">
        <v>16.63157844543457</v>
      </c>
    </row>
    <row r="125" spans="1:15" ht="18" customHeight="1">
      <c r="A125" s="187"/>
      <c r="B125" s="37" t="s">
        <v>192</v>
      </c>
      <c r="C125" s="56">
        <v>109.83055877685547</v>
      </c>
      <c r="D125" s="56">
        <v>103.92949295043945</v>
      </c>
      <c r="E125" s="56">
        <v>102.45116424560547</v>
      </c>
      <c r="F125" s="57">
        <v>105.09336853027344</v>
      </c>
    </row>
    <row r="126" spans="1:15" ht="18" customHeight="1">
      <c r="A126" s="187"/>
      <c r="B126" s="37" t="s">
        <v>193</v>
      </c>
      <c r="C126" s="33">
        <v>2.0346500873565674</v>
      </c>
      <c r="D126" s="33">
        <v>1.8780555725097656</v>
      </c>
      <c r="E126" s="33">
        <v>0.57384002208709717</v>
      </c>
      <c r="F126" s="58">
        <v>1.5760500431060791</v>
      </c>
    </row>
    <row r="127" spans="1:15" ht="18" customHeight="1">
      <c r="A127" s="187"/>
      <c r="B127" s="37" t="s">
        <v>200</v>
      </c>
      <c r="C127" s="33">
        <f ca="1">4.9289404296875*OFFSET($L$113,MATCH($N$1,$C$113:$C$114,0)-1,0)</f>
        <v>4.9289404296874997</v>
      </c>
      <c r="D127" s="33">
        <f ca="1">4.38407104492187*OFFSET($L$113,MATCH($N$1,$C$113:$C$114,0)-1,0)</f>
        <v>4.3840710449218703</v>
      </c>
      <c r="E127" s="33">
        <f ca="1">2.5861767578125*OFFSET($L$113,MATCH($N$1,$C$113:$C$114,0)-1,0)</f>
        <v>2.5861767578124999</v>
      </c>
      <c r="F127" s="58">
        <f ca="1">4.05432763671875*OFFSET($L$113,MATCH($N$1,$C$113:$C$114,0)-1,0)</f>
        <v>4.0543276367187504</v>
      </c>
    </row>
    <row r="128" spans="1:15" ht="18" customHeight="1">
      <c r="A128" s="187"/>
      <c r="B128" s="37" t="s">
        <v>195</v>
      </c>
      <c r="C128" s="56">
        <v>10</v>
      </c>
      <c r="D128" s="56">
        <v>13.333333492279053</v>
      </c>
      <c r="E128" s="56">
        <v>37.799999237060547</v>
      </c>
      <c r="F128" s="57">
        <v>18.894737243652344</v>
      </c>
    </row>
    <row r="129" spans="1:15" ht="18" customHeight="1">
      <c r="A129" s="187"/>
      <c r="B129" s="37" t="s">
        <v>201</v>
      </c>
      <c r="C129" s="56">
        <v>34.5</v>
      </c>
      <c r="D129" s="56">
        <v>48.222221374511719</v>
      </c>
      <c r="E129" s="56">
        <v>38.700000762939453</v>
      </c>
      <c r="F129" s="57">
        <v>42.105262756347656</v>
      </c>
    </row>
    <row r="130" spans="1:15" ht="18" customHeight="1">
      <c r="A130" s="187"/>
      <c r="B130" s="37" t="s">
        <v>202</v>
      </c>
      <c r="C130" s="59">
        <v>0.20346501469612122</v>
      </c>
      <c r="D130" s="59">
        <v>0.14085416625911992</v>
      </c>
      <c r="E130" s="59">
        <v>1.5180952847003937E-2</v>
      </c>
      <c r="F130" s="60">
        <v>8.3412118256092072E-2</v>
      </c>
    </row>
    <row r="131" spans="1:15" ht="18" customHeight="1">
      <c r="A131" s="188"/>
      <c r="B131" s="39" t="s">
        <v>203</v>
      </c>
      <c r="C131" s="40">
        <f ca="1">2422.50029148315*OFFSET($L$113,MATCH($N$1,$C$113:$C$114,0)-1,0)</f>
        <v>2422.5002914831498</v>
      </c>
      <c r="D131" s="40">
        <f ca="1">2334.3670491407*OFFSET($L$113,MATCH($N$1,$C$113:$C$114,0)-1,0)</f>
        <v>2334.3670491407001</v>
      </c>
      <c r="E131" s="40">
        <f ca="1">4506.79049608006*OFFSET($L$113,MATCH($N$1,$C$113:$C$114,0)-1,0)</f>
        <v>4506.7904960800597</v>
      </c>
      <c r="F131" s="61">
        <f ca="1">2572*OFFSET($L$113,MATCH($N$1,$C$113:$C$114,0)-1,0)</f>
        <v>2572</v>
      </c>
    </row>
    <row r="132" spans="1:15" ht="18" customHeight="1">
      <c r="A132" s="198" t="s">
        <v>204</v>
      </c>
      <c r="B132" s="35" t="s">
        <v>205</v>
      </c>
      <c r="C132" s="62">
        <v>1.8288989549272516</v>
      </c>
      <c r="D132" s="62">
        <v>1.1625627629598658</v>
      </c>
      <c r="E132" s="62">
        <v>0.1573932465118438</v>
      </c>
      <c r="F132" s="63">
        <v>0.78122019503364037</v>
      </c>
    </row>
    <row r="133" spans="1:15" ht="18" customHeight="1">
      <c r="A133" s="199"/>
      <c r="B133" s="37" t="s">
        <v>206</v>
      </c>
      <c r="C133" s="59">
        <f ca="1">4.43050825140449*OFFSET($L$113,MATCH($N$1,$C$113:$C$114,0)-1,0)</f>
        <v>4.4305082514044898</v>
      </c>
      <c r="D133" s="59">
        <f ca="1">2.71384820641148*OFFSET($L$113,MATCH($N$1,$C$113:$C$114,0)-1,0)</f>
        <v>2.7138482064114799</v>
      </c>
      <c r="E133" s="59">
        <f ca="1">0.709338387526763*OFFSET($L$113,MATCH($N$1,$C$113:$C$114,0)-1,0)</f>
        <v>0.70933838752676304</v>
      </c>
      <c r="F133" s="60">
        <f ca="1">2.00965866594283*OFFSET($L$113,MATCH($N$1,$C$113:$C$114,0)-1,0)</f>
        <v>2.0096586659428302</v>
      </c>
    </row>
    <row r="134" spans="1:15" ht="18" customHeight="1">
      <c r="A134" s="199"/>
      <c r="B134" s="37" t="s">
        <v>153</v>
      </c>
      <c r="C134" s="59">
        <f ca="1">6.96581877633427*OFFSET($L$113,MATCH($N$1,$C$113:$C$114,0)-1,0)</f>
        <v>6.9658187763342703</v>
      </c>
      <c r="D134" s="59">
        <f ca="1">5.0816563232669*OFFSET($L$113,MATCH($N$1,$C$113:$C$114,0)-1,0)</f>
        <v>5.0816563232669001</v>
      </c>
      <c r="E134" s="59">
        <f ca="1">2.07776085695578*OFFSET($L$113,MATCH($N$1,$C$113:$C$114,0)-1,0)</f>
        <v>2.0777608569557802</v>
      </c>
      <c r="F134" s="60">
        <f ca="1">3.92648544208398*OFFSET($L$113,MATCH($N$1,$C$113:$C$114,0)-1,0)</f>
        <v>3.9264854420839801</v>
      </c>
    </row>
    <row r="135" spans="1:15" ht="18" customHeight="1">
      <c r="A135" s="200"/>
      <c r="B135" s="39" t="s">
        <v>154</v>
      </c>
      <c r="C135" s="64">
        <f ca="1">-2.53531052492978*OFFSET($L$113,MATCH($N$1,$C$113:$C$114,0)-1,0)</f>
        <v>-2.53531052492978</v>
      </c>
      <c r="D135" s="64">
        <f ca="1">-2.36780811685542*OFFSET($L$113,MATCH($N$1,$C$113:$C$114,0)-1,0)</f>
        <v>-2.3678081168554201</v>
      </c>
      <c r="E135" s="64">
        <f ca="1">-1.36842246942902*OFFSET($L$113,MATCH($N$1,$C$113:$C$114,0)-1,0)</f>
        <v>-1.3684224694290199</v>
      </c>
      <c r="F135" s="65">
        <f ca="1">-1.91682677614115*OFFSET($L$113,MATCH($N$1,$C$113:$C$114,0)-1,0)</f>
        <v>-1.9168267761411499</v>
      </c>
    </row>
    <row r="136" spans="1:15" ht="18" customHeight="1">
      <c r="A136" s="201" t="s">
        <v>260</v>
      </c>
      <c r="B136" s="37" t="s">
        <v>261</v>
      </c>
      <c r="C136" s="66">
        <f ca="1">1.25446337890625*OFFSET($L$113,MATCH($N$1,$C$113:$C$114,0)-1,0)</f>
        <v>1.25446337890625</v>
      </c>
      <c r="D136" s="66">
        <f ca="1">2.43211389160156*OFFSET($L$113,MATCH($N$1,$C$113:$C$114,0)-1,0)</f>
        <v>2.4321138916015599</v>
      </c>
      <c r="E136" s="66">
        <f ca="1">4.17200244140625*OFFSET($L$113,MATCH($N$1,$C$113:$C$114,0)-1,0)</f>
        <v>4.1720024414062502</v>
      </c>
      <c r="F136" s="67">
        <f ca="1">2.5800712890625*OFFSET($L$113,MATCH($N$1,$C$113:$C$114,0)-1,0)</f>
        <v>2.5800712890624999</v>
      </c>
    </row>
    <row r="137" spans="1:15" ht="18" customHeight="1">
      <c r="A137" s="202"/>
      <c r="B137" s="37" t="s">
        <v>262</v>
      </c>
      <c r="C137" s="31">
        <v>2640</v>
      </c>
      <c r="D137" s="31">
        <v>5249.9999647861259</v>
      </c>
      <c r="E137" s="31">
        <v>9149.9998061649385</v>
      </c>
      <c r="F137" s="68">
        <v>5589.4736842105267</v>
      </c>
    </row>
    <row r="138" spans="1:15" ht="18" customHeight="1">
      <c r="A138" s="202"/>
      <c r="B138" s="37" t="s">
        <v>263</v>
      </c>
      <c r="C138" s="31">
        <v>264</v>
      </c>
      <c r="D138" s="31">
        <v>393.74999266509377</v>
      </c>
      <c r="E138" s="31">
        <v>242.06349182128906</v>
      </c>
      <c r="F138" s="68">
        <v>295.82171630859375</v>
      </c>
    </row>
    <row r="139" spans="1:15" ht="18" customHeight="1">
      <c r="A139" s="202"/>
      <c r="B139" s="37" t="s">
        <v>264</v>
      </c>
      <c r="C139" s="31">
        <f ca="1">125.446337890625*OFFSET($L$113,MATCH($N$1,$C$113:$C$114,0)-1,0)</f>
        <v>125.446337890625</v>
      </c>
      <c r="D139" s="31">
        <f ca="1">182.408539695638*OFFSET($L$113,MATCH($N$1,$C$113:$C$114,0)-1,0)</f>
        <v>182.40853969563801</v>
      </c>
      <c r="E139" s="31">
        <f ca="1">110.370437185508*OFFSET($L$113,MATCH($N$1,$C$113:$C$114,0)-1,0)</f>
        <v>110.370437185508</v>
      </c>
      <c r="F139" s="68">
        <f ca="1">136.549731059598*OFFSET($L$113,MATCH($N$1,$C$113:$C$114,0)-1,0)</f>
        <v>136.549731059598</v>
      </c>
      <c r="I139" s="43"/>
      <c r="L139" s="69" t="str">
        <f>C120</f>
        <v>Most
profitable
quartile</v>
      </c>
      <c r="M139" s="69" t="str">
        <f>D120</f>
        <v>Middle
two quartiles</v>
      </c>
      <c r="N139" s="69" t="str">
        <f>E120</f>
        <v>Least
profitable
quartile</v>
      </c>
      <c r="O139" s="69"/>
    </row>
    <row r="140" spans="1:15" ht="18" customHeight="1">
      <c r="A140" s="202"/>
      <c r="B140" s="37" t="s">
        <v>265</v>
      </c>
      <c r="C140" s="31">
        <f ca="1">616.54993490112*OFFSET($L$113,MATCH($N$1,$C$113:$C$114,0)-1,0)</f>
        <v>616.54993490111997</v>
      </c>
      <c r="D140" s="31">
        <f ca="1">1295.01699907174*OFFSET($L$113,MATCH($N$1,$C$113:$C$114,0)-1,0)</f>
        <v>1295.01699907174</v>
      </c>
      <c r="E140" s="31">
        <f ca="1">7270.32322742561*OFFSET($L$113,MATCH($N$1,$C$113:$C$114,0)-1,0)</f>
        <v>7270.3232274256097</v>
      </c>
      <c r="F140" s="68">
        <f ca="1">1637.04909012768*OFFSET($L$113,MATCH($N$1,$C$113:$C$114,0)-1,0)</f>
        <v>1637.0490901276801</v>
      </c>
      <c r="I140" s="43"/>
      <c r="K140" s="69" t="s">
        <v>266</v>
      </c>
      <c r="L140" s="70">
        <f t="shared" ref="L140:M142" ca="1" si="2">C141</f>
        <v>4.9289404296874997</v>
      </c>
      <c r="M140" s="70">
        <f t="shared" ca="1" si="2"/>
        <v>4.3840710449218703</v>
      </c>
      <c r="N140" s="70">
        <f ca="1">E141</f>
        <v>2.5861767578124999</v>
      </c>
      <c r="O140" s="70"/>
    </row>
    <row r="141" spans="1:15" ht="18" customHeight="1">
      <c r="A141" s="179" t="s">
        <v>267</v>
      </c>
      <c r="B141" s="35" t="s">
        <v>268</v>
      </c>
      <c r="C141" s="71">
        <f ca="1">4.9289404296875*OFFSET($L$113,MATCH($N$1,$C$113:$C$114,0)-1,0)</f>
        <v>4.9289404296874997</v>
      </c>
      <c r="D141" s="71">
        <f ca="1">4.38407104492187*OFFSET($L$113,MATCH($N$1,$C$113:$C$114,0)-1,0)</f>
        <v>4.3840710449218703</v>
      </c>
      <c r="E141" s="71">
        <f ca="1">2.5861767578125*OFFSET($L$113,MATCH($N$1,$C$113:$C$114,0)-1,0)</f>
        <v>2.5861767578124999</v>
      </c>
      <c r="F141" s="72">
        <f ca="1">4.05432763671875*OFFSET($L$113,MATCH($N$1,$C$113:$C$114,0)-1,0)</f>
        <v>4.0543276367187504</v>
      </c>
      <c r="I141" s="43"/>
      <c r="K141" s="69" t="s">
        <v>269</v>
      </c>
      <c r="L141" s="70">
        <f t="shared" ca="1" si="2"/>
        <v>7.7494736328125002</v>
      </c>
      <c r="M141" s="70">
        <f t="shared" ca="1" si="2"/>
        <v>8.2091335449218708</v>
      </c>
      <c r="N141" s="70">
        <f ca="1">E142</f>
        <v>7.5753081054687499</v>
      </c>
      <c r="O141" s="70"/>
    </row>
    <row r="142" spans="1:15" ht="18" customHeight="1">
      <c r="A142" s="180"/>
      <c r="B142" s="37" t="s">
        <v>270</v>
      </c>
      <c r="C142" s="31">
        <f ca="1">7.7494736328125*OFFSET($L$113,MATCH($N$1,$C$113:$C$114,0)-1,0)</f>
        <v>7.7494736328125002</v>
      </c>
      <c r="D142" s="31">
        <f ca="1">8.20913354492187*OFFSET($L$113,MATCH($N$1,$C$113:$C$114,0)-1,0)</f>
        <v>8.2091335449218708</v>
      </c>
      <c r="E142" s="31">
        <f ca="1">7.57530810546875*OFFSET($L$113,MATCH($N$1,$C$113:$C$114,0)-1,0)</f>
        <v>7.5753081054687499</v>
      </c>
      <c r="F142" s="68">
        <f ca="1">7.92137451171875*OFFSET($L$113,MATCH($N$1,$C$113:$C$114,0)-1,0)</f>
        <v>7.9213745117187502</v>
      </c>
      <c r="I142" s="43"/>
      <c r="K142" s="69" t="s">
        <v>271</v>
      </c>
      <c r="L142" s="70">
        <f t="shared" ca="1" si="2"/>
        <v>-2.8205332031250001</v>
      </c>
      <c r="M142" s="70">
        <f t="shared" ca="1" si="2"/>
        <v>-3.8250625</v>
      </c>
      <c r="N142" s="70">
        <f ca="1">E143</f>
        <v>-4.98913134765625</v>
      </c>
      <c r="O142" s="70"/>
    </row>
    <row r="143" spans="1:15" ht="18" customHeight="1">
      <c r="A143" s="181"/>
      <c r="B143" s="39" t="s">
        <v>272</v>
      </c>
      <c r="C143" s="40">
        <f ca="1">-2.820533203125*OFFSET($L$113,MATCH($N$1,$C$113:$C$114,0)-1,0)</f>
        <v>-2.8205332031250001</v>
      </c>
      <c r="D143" s="40">
        <f ca="1">-3.8250625*OFFSET($L$113,MATCH($N$1,$C$113:$C$114,0)-1,0)</f>
        <v>-3.8250625</v>
      </c>
      <c r="E143" s="40">
        <f ca="1">-4.98913134765625*OFFSET($L$113,MATCH($N$1,$C$113:$C$114,0)-1,0)</f>
        <v>-4.98913134765625</v>
      </c>
      <c r="F143" s="61">
        <f ca="1">-3.86704663085938*OFFSET($L$113,MATCH($N$1,$C$113:$C$114,0)-1,0)</f>
        <v>-3.8670466308593801</v>
      </c>
      <c r="I143" s="43"/>
      <c r="K143" s="69" t="s">
        <v>273</v>
      </c>
      <c r="L143" s="73">
        <f ca="1">IFERROR(L141/L$140,"")</f>
        <v>1.5722392557509213</v>
      </c>
      <c r="M143" s="73">
        <f t="shared" ref="M143:N144" ca="1" si="3">IFERROR(M141/M$140,"")</f>
        <v>1.8724909931445164</v>
      </c>
      <c r="N143" s="73">
        <f t="shared" ca="1" si="3"/>
        <v>2.9291532694293769</v>
      </c>
      <c r="O143" s="73"/>
    </row>
    <row r="144" spans="1:15" ht="18" customHeight="1">
      <c r="I144" s="43"/>
      <c r="K144" s="69" t="s">
        <v>274</v>
      </c>
      <c r="L144" s="73">
        <f ca="1">IFERROR(L142/L$140,"")</f>
        <v>-0.57223925575092116</v>
      </c>
      <c r="M144" s="73">
        <f t="shared" ca="1" si="3"/>
        <v>-0.87249099314451628</v>
      </c>
      <c r="N144" s="73">
        <f t="shared" ca="1" si="3"/>
        <v>-1.9291532694293769</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14</v>
      </c>
      <c r="B162" s="48"/>
      <c r="C162" s="74" t="s">
        <v>255</v>
      </c>
      <c r="D162" s="74" t="s">
        <v>276</v>
      </c>
      <c r="E162" s="74" t="s">
        <v>257</v>
      </c>
      <c r="F162" s="74" t="s">
        <v>277</v>
      </c>
      <c r="G162" s="75">
        <v>12</v>
      </c>
      <c r="H162" s="74"/>
      <c r="I162" s="74" t="s">
        <v>255</v>
      </c>
      <c r="J162" s="74" t="s">
        <v>276</v>
      </c>
      <c r="K162" s="74" t="s">
        <v>257</v>
      </c>
      <c r="L162" s="48" t="s">
        <v>277</v>
      </c>
      <c r="R162" s="21"/>
      <c r="S162" s="21"/>
    </row>
    <row r="163" spans="1:19" s="43" customFormat="1">
      <c r="A163" s="44">
        <v>1</v>
      </c>
      <c r="B163" s="48" t="s">
        <v>159</v>
      </c>
      <c r="C163" s="48">
        <v>0.14904774122642145</v>
      </c>
      <c r="D163" s="48">
        <v>0.34514284908522724</v>
      </c>
      <c r="E163" s="48">
        <v>0.37414607600261152</v>
      </c>
      <c r="F163" s="44">
        <v>12153634</v>
      </c>
      <c r="G163" s="44">
        <v>1</v>
      </c>
      <c r="H163" s="48" t="s">
        <v>159</v>
      </c>
      <c r="I163" s="48">
        <v>0.1682154661631354</v>
      </c>
      <c r="J163" s="48">
        <v>0.38326185650454409</v>
      </c>
      <c r="K163" s="48">
        <v>0.20903394791541832</v>
      </c>
      <c r="L163" s="44">
        <v>12153634</v>
      </c>
      <c r="R163" s="21"/>
      <c r="S163" s="21"/>
    </row>
    <row r="164" spans="1:19" s="43" customFormat="1">
      <c r="A164" s="44">
        <v>2</v>
      </c>
      <c r="B164" s="48" t="s">
        <v>176</v>
      </c>
      <c r="C164" s="48">
        <v>0.29355415730092715</v>
      </c>
      <c r="D164" s="48">
        <v>0.22679892287677036</v>
      </c>
      <c r="E164" s="48">
        <v>0</v>
      </c>
      <c r="F164" s="44">
        <v>553960</v>
      </c>
      <c r="G164" s="44">
        <v>2</v>
      </c>
      <c r="H164" s="48" t="s">
        <v>176</v>
      </c>
      <c r="I164" s="48">
        <v>0.23803397686703368</v>
      </c>
      <c r="J164" s="48">
        <v>0.18383323048585273</v>
      </c>
      <c r="K164" s="48">
        <v>0</v>
      </c>
      <c r="L164" s="44">
        <v>553960</v>
      </c>
      <c r="N164" s="43" t="s">
        <v>278</v>
      </c>
      <c r="R164" s="21"/>
      <c r="S164" s="21"/>
    </row>
    <row r="165" spans="1:19" s="43" customFormat="1">
      <c r="A165" s="44">
        <v>3</v>
      </c>
      <c r="B165" s="48" t="s">
        <v>250</v>
      </c>
      <c r="C165" s="48">
        <v>0</v>
      </c>
      <c r="D165" s="48">
        <v>0.16516000935428574</v>
      </c>
      <c r="E165" s="48">
        <v>0</v>
      </c>
      <c r="F165" s="44">
        <v>11115023</v>
      </c>
      <c r="G165" s="44">
        <v>3</v>
      </c>
      <c r="H165" s="48" t="s">
        <v>177</v>
      </c>
      <c r="I165" s="48">
        <v>0</v>
      </c>
      <c r="J165" s="48">
        <v>0.14176665727817864</v>
      </c>
      <c r="K165" s="48">
        <v>0</v>
      </c>
      <c r="L165" s="44">
        <v>14393110</v>
      </c>
      <c r="N165" s="43" t="s">
        <v>279</v>
      </c>
      <c r="R165" s="21"/>
      <c r="S165" s="21"/>
    </row>
    <row r="166" spans="1:19" s="43" customFormat="1">
      <c r="A166" s="44">
        <v>4</v>
      </c>
      <c r="B166" s="48" t="s">
        <v>169</v>
      </c>
      <c r="C166" s="48">
        <v>0</v>
      </c>
      <c r="D166" s="48">
        <v>7.8939260051831078E-2</v>
      </c>
      <c r="E166" s="48">
        <v>0</v>
      </c>
      <c r="F166" s="44">
        <v>7434864</v>
      </c>
      <c r="G166" s="44">
        <v>4</v>
      </c>
      <c r="H166" s="48" t="s">
        <v>250</v>
      </c>
      <c r="I166" s="48">
        <v>0</v>
      </c>
      <c r="J166" s="48">
        <v>7.4491170133173884E-2</v>
      </c>
      <c r="K166" s="48">
        <v>0</v>
      </c>
      <c r="L166" s="44">
        <v>11115023</v>
      </c>
      <c r="R166" s="21"/>
      <c r="S166" s="21"/>
    </row>
    <row r="167" spans="1:19" s="43" customFormat="1">
      <c r="A167" s="44">
        <v>5</v>
      </c>
      <c r="B167" s="48" t="s">
        <v>293</v>
      </c>
      <c r="C167" s="48">
        <v>0</v>
      </c>
      <c r="D167" s="48">
        <v>6.1366988580151008E-2</v>
      </c>
      <c r="E167" s="48">
        <v>0</v>
      </c>
      <c r="F167" s="44">
        <v>8497745</v>
      </c>
      <c r="G167" s="44">
        <v>5</v>
      </c>
      <c r="H167" s="48" t="s">
        <v>170</v>
      </c>
      <c r="I167" s="48">
        <v>0.18680788950784605</v>
      </c>
      <c r="J167" s="48">
        <v>6.3360502548771958E-2</v>
      </c>
      <c r="K167" s="48">
        <v>0</v>
      </c>
      <c r="L167" s="44">
        <v>1692097</v>
      </c>
      <c r="R167" s="21"/>
      <c r="S167" s="21"/>
    </row>
    <row r="168" spans="1:19" s="43" customFormat="1">
      <c r="A168" s="44">
        <v>6</v>
      </c>
      <c r="B168" s="48" t="s">
        <v>174</v>
      </c>
      <c r="C168" s="48">
        <v>0</v>
      </c>
      <c r="D168" s="48">
        <v>0</v>
      </c>
      <c r="E168" s="48">
        <v>0.23966611842802285</v>
      </c>
      <c r="F168" s="44">
        <v>2887140</v>
      </c>
      <c r="G168" s="44">
        <v>6</v>
      </c>
      <c r="H168" s="48" t="s">
        <v>166</v>
      </c>
      <c r="I168" s="48">
        <v>0</v>
      </c>
      <c r="J168" s="48">
        <v>0</v>
      </c>
      <c r="K168" s="48">
        <v>0.4827365159537107</v>
      </c>
      <c r="L168" s="44">
        <v>3050596</v>
      </c>
      <c r="R168" s="21"/>
      <c r="S168" s="21"/>
    </row>
    <row r="169" spans="1:19" s="43" customFormat="1">
      <c r="A169" s="44">
        <v>7</v>
      </c>
      <c r="B169" s="48" t="s">
        <v>166</v>
      </c>
      <c r="C169" s="48">
        <v>0</v>
      </c>
      <c r="D169" s="48">
        <v>0</v>
      </c>
      <c r="E169" s="48">
        <v>0.12942632835137774</v>
      </c>
      <c r="F169" s="44">
        <v>3050596</v>
      </c>
      <c r="G169" s="44">
        <v>7</v>
      </c>
      <c r="H169" s="48" t="s">
        <v>174</v>
      </c>
      <c r="I169" s="48">
        <v>0</v>
      </c>
      <c r="J169" s="48">
        <v>0</v>
      </c>
      <c r="K169" s="48">
        <v>0.11758629440415749</v>
      </c>
      <c r="L169" s="44">
        <v>2887140</v>
      </c>
      <c r="R169" s="21"/>
      <c r="S169" s="21"/>
    </row>
    <row r="170" spans="1:19" s="43" customFormat="1">
      <c r="A170" s="44">
        <v>8</v>
      </c>
      <c r="B170" s="48" t="s">
        <v>294</v>
      </c>
      <c r="C170" s="48">
        <v>0</v>
      </c>
      <c r="D170" s="48">
        <v>0</v>
      </c>
      <c r="E170" s="48">
        <v>6.1567685465964486E-2</v>
      </c>
      <c r="F170" s="44">
        <v>15057844</v>
      </c>
      <c r="G170" s="44">
        <v>8</v>
      </c>
      <c r="H170" s="48" t="s">
        <v>175</v>
      </c>
      <c r="I170" s="48">
        <v>0.16436451428816048</v>
      </c>
      <c r="J170" s="48">
        <v>0</v>
      </c>
      <c r="K170" s="48">
        <v>6.2598234984591133E-2</v>
      </c>
      <c r="L170" s="44">
        <v>3689192</v>
      </c>
      <c r="R170" s="21"/>
      <c r="S170" s="21"/>
    </row>
    <row r="171" spans="1:19" s="43" customFormat="1">
      <c r="A171" s="44">
        <v>9</v>
      </c>
      <c r="B171" s="48" t="s">
        <v>156</v>
      </c>
      <c r="C171" s="48">
        <v>0</v>
      </c>
      <c r="D171" s="48">
        <v>0</v>
      </c>
      <c r="E171" s="48">
        <v>5.5468424952450482E-2</v>
      </c>
      <c r="F171" s="44">
        <v>10603512</v>
      </c>
      <c r="G171" s="44">
        <v>9</v>
      </c>
      <c r="H171" s="48" t="s">
        <v>294</v>
      </c>
      <c r="I171" s="48">
        <v>0</v>
      </c>
      <c r="J171" s="48">
        <v>0</v>
      </c>
      <c r="K171" s="48">
        <v>4.0130179211882007E-2</v>
      </c>
      <c r="L171" s="44">
        <v>15057844</v>
      </c>
      <c r="R171" s="21"/>
      <c r="S171" s="21"/>
    </row>
    <row r="172" spans="1:19" s="43" customFormat="1">
      <c r="A172" s="44">
        <v>10</v>
      </c>
      <c r="B172" s="48" t="s">
        <v>308</v>
      </c>
      <c r="C172" s="48">
        <v>0.16086304465575857</v>
      </c>
      <c r="D172" s="48">
        <v>0</v>
      </c>
      <c r="E172" s="48">
        <v>0</v>
      </c>
      <c r="F172" s="44">
        <v>2480382</v>
      </c>
      <c r="G172" s="44">
        <v>10</v>
      </c>
      <c r="H172" s="48" t="s">
        <v>308</v>
      </c>
      <c r="I172" s="48">
        <v>9.2399920745795727E-2</v>
      </c>
      <c r="J172" s="48">
        <v>0</v>
      </c>
      <c r="K172" s="48">
        <v>0</v>
      </c>
      <c r="L172" s="44">
        <v>2480382</v>
      </c>
      <c r="R172" s="21"/>
      <c r="S172" s="21"/>
    </row>
    <row r="173" spans="1:19" s="43" customFormat="1">
      <c r="A173" s="44">
        <v>11</v>
      </c>
      <c r="B173" s="48" t="s">
        <v>170</v>
      </c>
      <c r="C173" s="48">
        <v>0.15054185752026777</v>
      </c>
      <c r="D173" s="48">
        <v>0</v>
      </c>
      <c r="E173" s="48">
        <v>0</v>
      </c>
      <c r="F173" s="44">
        <v>1692097</v>
      </c>
      <c r="G173" s="44">
        <v>11</v>
      </c>
      <c r="H173" s="48" t="s">
        <v>251</v>
      </c>
      <c r="I173" s="48">
        <v>0.15017823242802864</v>
      </c>
      <c r="J173" s="48">
        <v>0.15328658304947873</v>
      </c>
      <c r="K173" s="48">
        <v>8.791482753024038E-2</v>
      </c>
      <c r="L173" s="44">
        <v>5920853</v>
      </c>
      <c r="R173" s="21"/>
      <c r="S173" s="21"/>
    </row>
    <row r="174" spans="1:19" s="43" customFormat="1">
      <c r="A174" s="44">
        <v>12</v>
      </c>
      <c r="B174" s="48" t="s">
        <v>175</v>
      </c>
      <c r="C174" s="48">
        <v>4.4793945020101381E-2</v>
      </c>
      <c r="D174" s="48">
        <v>0</v>
      </c>
      <c r="E174" s="48">
        <v>0</v>
      </c>
      <c r="F174" s="44">
        <v>3689192</v>
      </c>
      <c r="G174" s="44">
        <v>12</v>
      </c>
      <c r="H174" s="48"/>
      <c r="I174" s="48">
        <v>0</v>
      </c>
      <c r="J174" s="48">
        <v>0</v>
      </c>
      <c r="K174" s="48">
        <v>0</v>
      </c>
      <c r="L174" s="44"/>
      <c r="R174" s="21"/>
      <c r="S174" s="21"/>
    </row>
    <row r="175" spans="1:19" s="43" customFormat="1">
      <c r="A175" s="44">
        <v>13</v>
      </c>
      <c r="B175" s="48" t="s">
        <v>251</v>
      </c>
      <c r="C175" s="48">
        <v>0.20119925427652374</v>
      </c>
      <c r="D175" s="48">
        <v>0.12259197005173461</v>
      </c>
      <c r="E175" s="48">
        <v>0.13972536679957281</v>
      </c>
      <c r="F175" s="44">
        <v>5920853</v>
      </c>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B74FF298-D476-4AF7-9ABB-667E183D785F}">
      <formula1>$C$113:$C$114</formula1>
    </dataValidation>
  </dataValidations>
  <hyperlinks>
    <hyperlink ref="O1:P1" location="Home_page" display="Back to home page" xr:uid="{3E3B7A22-1F19-44C6-ABF1-C8F3BEF8F0F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BBE31B9E-D4C6-471E-8651-75441AC43896}">
          <x14:colorSeries rgb="FF323232"/>
          <x14:colorNegative rgb="FFD00000"/>
          <x14:colorAxis rgb="FF000000"/>
          <x14:colorMarkers rgb="FFD00000"/>
          <x14:colorFirst rgb="FFD00000"/>
          <x14:colorLast rgb="FFD00000"/>
          <x14:colorHigh rgb="FFD00000"/>
          <x14:colorLow rgb="FFD00000"/>
          <x14:sparklines>
            <x14:sparkline>
              <xm:f>'Low activity over 10m'!D3:N3</xm:f>
              <xm:sqref>C3</xm:sqref>
            </x14:sparkline>
            <x14:sparkline>
              <xm:f>'Low activity over 10m'!D4:N4</xm:f>
              <xm:sqref>C4</xm:sqref>
            </x14:sparkline>
            <x14:sparkline>
              <xm:f>'Low activity over 10m'!D5:N5</xm:f>
              <xm:sqref>C5</xm:sqref>
            </x14:sparkline>
            <x14:sparkline>
              <xm:f>'Low activity over 10m'!D6:N6</xm:f>
              <xm:sqref>C6</xm:sqref>
            </x14:sparkline>
            <x14:sparkline>
              <xm:f>'Low activity over 10m'!D7:N7</xm:f>
              <xm:sqref>C7</xm:sqref>
            </x14:sparkline>
            <x14:sparkline>
              <xm:f>'Low activity over 10m'!D8:N8</xm:f>
              <xm:sqref>C8</xm:sqref>
            </x14:sparkline>
            <x14:sparkline>
              <xm:f>'Low activity over 10m'!D9:N9</xm:f>
              <xm:sqref>C9</xm:sqref>
            </x14:sparkline>
            <x14:sparkline>
              <xm:f>'Low activity over 10m'!D10:N10</xm:f>
              <xm:sqref>C10</xm:sqref>
            </x14:sparkline>
            <x14:sparkline>
              <xm:f>'Low activity over 10m'!D11:N11</xm:f>
              <xm:sqref>C11</xm:sqref>
            </x14:sparkline>
            <x14:sparkline>
              <xm:f>'Low activity over 10m'!D12:N12</xm:f>
              <xm:sqref>C12</xm:sqref>
            </x14:sparkline>
            <x14:sparkline>
              <xm:f>'Low activity over 10m'!D13:N13</xm:f>
              <xm:sqref>C13</xm:sqref>
            </x14:sparkline>
            <x14:sparkline>
              <xm:f>'Low activity over 10m'!D14:N14</xm:f>
              <xm:sqref>C14</xm:sqref>
            </x14:sparkline>
            <x14:sparkline>
              <xm:f>'Low activity over 10m'!D15:N15</xm:f>
              <xm:sqref>C15</xm:sqref>
            </x14:sparkline>
            <x14:sparkline>
              <xm:f>'Low activity over 10m'!D16:N16</xm:f>
              <xm:sqref>C16</xm:sqref>
            </x14:sparkline>
            <x14:sparkline>
              <xm:f>'Low activity over 10m'!D17:N17</xm:f>
              <xm:sqref>C17</xm:sqref>
            </x14:sparkline>
            <x14:sparkline>
              <xm:f>'Low activity over 10m'!D18:N18</xm:f>
              <xm:sqref>C18</xm:sqref>
            </x14:sparkline>
            <x14:sparkline>
              <xm:f>'Low activity over 10m'!D19:N19</xm:f>
              <xm:sqref>C19</xm:sqref>
            </x14:sparkline>
            <x14:sparkline>
              <xm:f>'Low activity over 10m'!D20:N20</xm:f>
              <xm:sqref>C20</xm:sqref>
            </x14:sparkline>
            <x14:sparkline>
              <xm:f>'Low activity over 10m'!D21:N21</xm:f>
              <xm:sqref>C21</xm:sqref>
            </x14:sparkline>
            <x14:sparkline>
              <xm:f>'Low activity over 10m'!D22:N22</xm:f>
              <xm:sqref>C22</xm:sqref>
            </x14:sparkline>
            <x14:sparkline>
              <xm:f>'Low activity over 10m'!D23:N23</xm:f>
              <xm:sqref>C23</xm:sqref>
            </x14:sparkline>
            <x14:sparkline>
              <xm:f>'Low activity over 10m'!D24:N24</xm:f>
              <xm:sqref>C24</xm:sqref>
            </x14:sparkline>
            <x14:sparkline>
              <xm:f>'Low activity over 10m'!D25:N25</xm:f>
              <xm:sqref>C25</xm:sqref>
            </x14:sparkline>
            <x14:sparkline>
              <xm:f>'Low activity over 10m'!D26:N26</xm:f>
              <xm:sqref>C26</xm:sqref>
            </x14:sparkline>
            <x14:sparkline>
              <xm:f>'Low activity over 10m'!D27:N27</xm:f>
              <xm:sqref>C27</xm:sqref>
            </x14:sparkline>
            <x14:sparkline>
              <xm:f>'Low activity over 10m'!D28:N28</xm:f>
              <xm:sqref>C28</xm:sqref>
            </x14:sparkline>
            <x14:sparkline>
              <xm:f>'Low activity over 10m'!D29:N29</xm:f>
              <xm:sqref>C29</xm:sqref>
            </x14:sparkline>
            <x14:sparkline>
              <xm:f>'Low activity over 10m'!D30:N30</xm:f>
              <xm:sqref>C30</xm:sqref>
            </x14:sparkline>
            <x14:sparkline>
              <xm:f>'Low activity over 10m'!D31:N31</xm:f>
              <xm:sqref>C31</xm:sqref>
            </x14:sparkline>
            <x14:sparkline>
              <xm:f>'Low activity over 10m'!D32:N32</xm:f>
              <xm:sqref>C32</xm:sqref>
            </x14:sparkline>
            <x14:sparkline>
              <xm:f>'Low activity over 10m'!D33:N33</xm:f>
              <xm:sqref>C33</xm:sqref>
            </x14:sparkline>
            <x14:sparkline>
              <xm:f>'Low activity over 10m'!D34:N34</xm:f>
              <xm:sqref>C34</xm:sqref>
            </x14:sparkline>
            <x14:sparkline>
              <xm:f>'Low activity over 10m'!D35:N35</xm:f>
              <xm:sqref>C35</xm:sqref>
            </x14:sparkline>
            <x14:sparkline>
              <xm:f>'Low activity over 10m'!D36:N36</xm:f>
              <xm:sqref>C36</xm:sqref>
            </x14:sparkline>
            <x14:sparkline>
              <xm:f>'Low activity over 10m'!D37:N37</xm:f>
              <xm:sqref>C37</xm:sqref>
            </x14:sparkline>
            <x14:sparkline>
              <xm:f>'Low activity over 10m'!D38:N38</xm:f>
              <xm:sqref>C38</xm:sqref>
            </x14:sparkline>
            <x14:sparkline>
              <xm:f>'Low activity over 10m'!D39:N39</xm:f>
              <xm:sqref>C39</xm:sqref>
            </x14:sparkline>
            <x14:sparkline>
              <xm:f>'Low activity over 10m'!D40:N40</xm:f>
              <xm:sqref>C40</xm:sqref>
            </x14:sparkline>
            <x14:sparkline>
              <xm:f>'Low activity over 10m'!D41:N41</xm:f>
              <xm:sqref>C41</xm:sqref>
            </x14:sparkline>
            <x14:sparkline>
              <xm:f>'Low activity over 10m'!D42:N42</xm:f>
              <xm:sqref>C42</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3A5BD-1AD8-4FB4-82B6-968A7C1130F3}">
  <sheetPr codeName="Feuil15">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18</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1717</v>
      </c>
      <c r="E3" s="28">
        <v>1679</v>
      </c>
      <c r="F3" s="28">
        <v>1575</v>
      </c>
      <c r="G3" s="28">
        <v>1684</v>
      </c>
      <c r="H3" s="28">
        <v>1663</v>
      </c>
      <c r="I3" s="28">
        <v>1647</v>
      </c>
      <c r="J3" s="28">
        <v>1528</v>
      </c>
      <c r="K3" s="28">
        <v>1491</v>
      </c>
      <c r="L3" s="28">
        <v>1502</v>
      </c>
      <c r="M3" s="28">
        <v>1346</v>
      </c>
      <c r="N3" s="28">
        <v>1266</v>
      </c>
      <c r="O3" s="29">
        <f t="shared" ref="O3:O42" si="0">IF(N3=0,"",IFERROR(IF(AND(N3&gt;0,D3&lt;0),"na",IF(AND(N3&lt;0,D3&lt;0),-1,1)*(N3-D3)/D3),""))</f>
        <v>-0.2626674432149097</v>
      </c>
      <c r="P3" s="29">
        <f t="shared" ref="P3:P42" si="1">IF(N3=0,"",IFERROR(IF(AND(N3&gt;0,J3&lt;0),"na",IF(AND(N3&lt;0,J3&lt;0),-1,1)*(N3-J3)/J3),""))</f>
        <v>-0.17146596858638743</v>
      </c>
    </row>
    <row r="4" spans="1:17" ht="18" customHeight="1">
      <c r="A4" s="185"/>
      <c r="B4" s="30" t="s">
        <v>190</v>
      </c>
      <c r="C4" s="31"/>
      <c r="D4" s="31">
        <v>62887</v>
      </c>
      <c r="E4" s="31">
        <v>63527</v>
      </c>
      <c r="F4" s="31">
        <v>59630</v>
      </c>
      <c r="G4" s="31">
        <v>63944</v>
      </c>
      <c r="H4" s="31">
        <v>63798</v>
      </c>
      <c r="I4" s="31">
        <v>64022</v>
      </c>
      <c r="J4" s="31">
        <v>56087</v>
      </c>
      <c r="K4" s="31">
        <v>54492</v>
      </c>
      <c r="L4" s="31">
        <v>55598.76171875</v>
      </c>
      <c r="M4" s="31">
        <v>49736</v>
      </c>
      <c r="N4" s="31">
        <v>48001</v>
      </c>
      <c r="O4" s="29">
        <f t="shared" si="0"/>
        <v>-0.23671028988503187</v>
      </c>
      <c r="P4" s="29">
        <f t="shared" si="1"/>
        <v>-0.14416888048923993</v>
      </c>
    </row>
    <row r="5" spans="1:17" ht="18" customHeight="1">
      <c r="A5" s="185"/>
      <c r="B5" s="30" t="s">
        <v>191</v>
      </c>
      <c r="C5" s="31"/>
      <c r="D5" s="31">
        <v>3887.64990234375</v>
      </c>
      <c r="E5" s="31">
        <v>3882.6298828125</v>
      </c>
      <c r="F5" s="31">
        <v>3671.070068359375</v>
      </c>
      <c r="G5" s="31">
        <v>3916.239990234375</v>
      </c>
      <c r="H5" s="31">
        <v>5384.56005859375</v>
      </c>
      <c r="I5" s="31">
        <v>3869.570068359375</v>
      </c>
      <c r="J5" s="31">
        <v>3430.8798828125</v>
      </c>
      <c r="K5" s="31">
        <v>3328.64990234375</v>
      </c>
      <c r="L5" s="31">
        <v>3547.320068359375</v>
      </c>
      <c r="M5" s="31">
        <v>3205.679931640625</v>
      </c>
      <c r="N5" s="31">
        <v>3438.179931640625</v>
      </c>
      <c r="O5" s="29">
        <f t="shared" si="0"/>
        <v>-0.11561482695037759</v>
      </c>
      <c r="P5" s="29">
        <f t="shared" si="1"/>
        <v>2.1277482970755326E-3</v>
      </c>
      <c r="Q5" s="32"/>
    </row>
    <row r="6" spans="1:17" ht="18" customHeight="1">
      <c r="A6" s="185"/>
      <c r="B6" s="30" t="s">
        <v>192</v>
      </c>
      <c r="C6" s="31"/>
      <c r="D6" s="31">
        <v>55394.70703125</v>
      </c>
      <c r="E6" s="31">
        <v>55430.74609375</v>
      </c>
      <c r="F6" s="31">
        <v>52511.92578125</v>
      </c>
      <c r="G6" s="31">
        <v>56094.67578125</v>
      </c>
      <c r="H6" s="31">
        <v>55383.30078125</v>
      </c>
      <c r="I6" s="31">
        <v>55786.83203125</v>
      </c>
      <c r="J6" s="31">
        <v>49767.84375</v>
      </c>
      <c r="K6" s="31">
        <v>48540.53125</v>
      </c>
      <c r="L6" s="31">
        <v>49664.23828125</v>
      </c>
      <c r="M6" s="31">
        <v>44432.7265625</v>
      </c>
      <c r="N6" s="31">
        <v>42196.30078125</v>
      </c>
      <c r="O6" s="29">
        <f t="shared" si="0"/>
        <v>-0.23826114366042841</v>
      </c>
      <c r="P6" s="29">
        <f t="shared" si="1"/>
        <v>-0.15213725165157471</v>
      </c>
    </row>
    <row r="7" spans="1:17" ht="18" customHeight="1">
      <c r="A7" s="185"/>
      <c r="B7" s="30" t="s">
        <v>193</v>
      </c>
      <c r="C7" s="31"/>
      <c r="D7" s="31">
        <v>2308.896484375</v>
      </c>
      <c r="E7" s="31">
        <v>2332.751708984375</v>
      </c>
      <c r="F7" s="31">
        <v>2221.367919921875</v>
      </c>
      <c r="G7" s="31">
        <v>2281.4736328125</v>
      </c>
      <c r="H7" s="31">
        <v>2093.980712890625</v>
      </c>
      <c r="I7" s="31">
        <v>1875.6885986328125</v>
      </c>
      <c r="J7" s="31">
        <v>1718.9920654296875</v>
      </c>
      <c r="K7" s="31">
        <v>1584.0909423828125</v>
      </c>
      <c r="L7" s="31">
        <v>1689.670166015625</v>
      </c>
      <c r="M7" s="31">
        <v>1428.843505859375</v>
      </c>
      <c r="N7" s="31">
        <v>1268.8626708984375</v>
      </c>
      <c r="O7" s="29">
        <f t="shared" si="0"/>
        <v>-0.45044627185098401</v>
      </c>
      <c r="P7" s="29">
        <f t="shared" si="1"/>
        <v>-0.26185658653330285</v>
      </c>
    </row>
    <row r="8" spans="1:17" ht="18" customHeight="1">
      <c r="A8" s="185"/>
      <c r="B8" s="30" t="s">
        <v>194</v>
      </c>
      <c r="C8" s="33"/>
      <c r="D8" s="33">
        <f ca="1">7.1418425*OFFSET(D$113,MATCH($N$1,$C$113:$C$114,0)-1,0)</f>
        <v>7.1418425000000001</v>
      </c>
      <c r="E8" s="33">
        <f ca="1">6.9748335*OFFSET(E$113,MATCH($N$1,$C$113:$C$114,0)-1,0)</f>
        <v>6.9748334999999999</v>
      </c>
      <c r="F8" s="33">
        <f ca="1">5.9474195*OFFSET(F$113,MATCH($N$1,$C$113:$C$114,0)-1,0)</f>
        <v>5.9474194999999996</v>
      </c>
      <c r="G8" s="33">
        <f ca="1">6.4207875*OFFSET(G$113,MATCH($N$1,$C$113:$C$114,0)-1,0)</f>
        <v>6.4207875000000003</v>
      </c>
      <c r="H8" s="33">
        <f ca="1">6.6293395*OFFSET(H$113,MATCH($N$1,$C$113:$C$114,0)-1,0)</f>
        <v>6.6293395000000004</v>
      </c>
      <c r="I8" s="33">
        <f ca="1">6.294566*OFFSET(I$113,MATCH($N$1,$C$113:$C$114,0)-1,0)</f>
        <v>6.2945659999999997</v>
      </c>
      <c r="J8" s="33">
        <f ca="1">5.884878*OFFSET(J$113,MATCH($N$1,$C$113:$C$114,0)-1,0)</f>
        <v>5.8848779999999996</v>
      </c>
      <c r="K8" s="33">
        <f ca="1">5.423656*OFFSET(K$113,MATCH($N$1,$C$113:$C$114,0)-1,0)</f>
        <v>5.4236560000000003</v>
      </c>
      <c r="L8" s="33">
        <f ca="1">5.2979105*OFFSET(L$113,MATCH($N$1,$C$113:$C$114,0)-1,0)</f>
        <v>5.2979105000000004</v>
      </c>
      <c r="M8" s="33">
        <f ca="1">5.098976*OFFSET(M$113,MATCH($N$1,$C$113:$C$114,0)-1,0)</f>
        <v>5.0989760000000004</v>
      </c>
      <c r="N8" s="33">
        <v>4.50678</v>
      </c>
      <c r="O8" s="29">
        <f t="shared" ca="1" si="0"/>
        <v>-0.36896116093291054</v>
      </c>
      <c r="P8" s="29">
        <f t="shared" ca="1" si="1"/>
        <v>-0.23417613755119474</v>
      </c>
    </row>
    <row r="9" spans="1:17" ht="18" customHeight="1">
      <c r="A9" s="185"/>
      <c r="B9" s="30" t="s">
        <v>195</v>
      </c>
      <c r="C9" s="31"/>
      <c r="D9" s="31">
        <v>40232</v>
      </c>
      <c r="E9" s="31">
        <v>42385</v>
      </c>
      <c r="F9" s="31">
        <v>43363</v>
      </c>
      <c r="G9" s="31">
        <v>50104</v>
      </c>
      <c r="H9" s="31">
        <v>41621</v>
      </c>
      <c r="I9" s="31">
        <v>33865</v>
      </c>
      <c r="J9" s="31">
        <v>28802</v>
      </c>
      <c r="K9" s="31">
        <v>27035</v>
      </c>
      <c r="L9" s="31">
        <v>26879</v>
      </c>
      <c r="M9" s="31">
        <v>23285</v>
      </c>
      <c r="N9" s="31">
        <v>19887</v>
      </c>
      <c r="O9" s="29">
        <f t="shared" si="0"/>
        <v>-0.50569198647842517</v>
      </c>
      <c r="P9" s="29">
        <f t="shared" si="1"/>
        <v>-0.30952711617248801</v>
      </c>
    </row>
    <row r="10" spans="1:17" ht="18" customHeight="1">
      <c r="A10" s="185"/>
      <c r="B10" s="30" t="s">
        <v>196</v>
      </c>
      <c r="C10" s="31"/>
      <c r="D10" s="31">
        <v>2211.8650000000002</v>
      </c>
      <c r="E10" s="31">
        <v>2378.3850000000002</v>
      </c>
      <c r="F10" s="31">
        <v>2480.2200000000003</v>
      </c>
      <c r="G10" s="31">
        <v>2836.89</v>
      </c>
      <c r="H10" s="31">
        <v>2271.9</v>
      </c>
      <c r="I10" s="31">
        <v>2055.1849999999999</v>
      </c>
      <c r="J10" s="31">
        <v>1641.27</v>
      </c>
      <c r="K10" s="31">
        <v>1560.5250000000001</v>
      </c>
      <c r="L10" s="31">
        <v>1600.46</v>
      </c>
      <c r="M10" s="31">
        <v>1310.0350000000001</v>
      </c>
      <c r="N10" s="31">
        <v>1097.21</v>
      </c>
      <c r="O10" s="29">
        <f t="shared" si="0"/>
        <v>-0.50394350468948157</v>
      </c>
      <c r="P10" s="29">
        <f t="shared" si="1"/>
        <v>-0.33148720198382958</v>
      </c>
    </row>
    <row r="11" spans="1:17" ht="18" customHeight="1">
      <c r="A11" s="185"/>
      <c r="B11" s="30" t="s">
        <v>197</v>
      </c>
      <c r="C11" s="31"/>
      <c r="D11" s="31">
        <v>176.4716796875</v>
      </c>
      <c r="E11" s="31">
        <v>210.52993774414063</v>
      </c>
      <c r="F11" s="31">
        <v>193.07832336425781</v>
      </c>
      <c r="G11" s="31">
        <v>205.18415832519531</v>
      </c>
      <c r="H11" s="31">
        <v>168.36111450195313</v>
      </c>
      <c r="I11" s="31">
        <v>150.01345825195313</v>
      </c>
      <c r="J11" s="31">
        <v>127.65596771240234</v>
      </c>
      <c r="K11" s="31">
        <v>91.88299560546875</v>
      </c>
      <c r="L11" s="31">
        <v>100.5899658203125</v>
      </c>
      <c r="M11" s="31">
        <v>82.433311462402344</v>
      </c>
      <c r="N11" s="31">
        <v>70.735588073730469</v>
      </c>
      <c r="O11" s="34">
        <f t="shared" si="0"/>
        <v>-0.59916748002290998</v>
      </c>
      <c r="P11" s="34">
        <f t="shared" si="1"/>
        <v>-0.44588890483293719</v>
      </c>
    </row>
    <row r="12" spans="1:17" ht="18" customHeight="1">
      <c r="A12" s="186" t="s">
        <v>198</v>
      </c>
      <c r="B12" s="35" t="s">
        <v>199</v>
      </c>
      <c r="C12" s="36"/>
      <c r="D12" s="36">
        <v>6.4117474555969238</v>
      </c>
      <c r="E12" s="36">
        <v>6.4550089836120605</v>
      </c>
      <c r="F12" s="36">
        <v>6.4699110984802246</v>
      </c>
      <c r="G12" s="36">
        <v>6.464993953704834</v>
      </c>
      <c r="H12" s="36">
        <v>6.4346122741699219</v>
      </c>
      <c r="I12" s="36">
        <v>6.455604076385498</v>
      </c>
      <c r="J12" s="36">
        <v>6.3949475288391113</v>
      </c>
      <c r="K12" s="36">
        <v>6.3605632781982422</v>
      </c>
      <c r="L12" s="36">
        <v>6.455925464630127</v>
      </c>
      <c r="M12" s="36">
        <v>6.4437074661254883</v>
      </c>
      <c r="N12" s="36">
        <v>6.4204263687133789</v>
      </c>
      <c r="O12" s="29">
        <f t="shared" si="0"/>
        <v>1.3535955956716771E-3</v>
      </c>
      <c r="P12" s="29">
        <f t="shared" si="1"/>
        <v>3.9842140626434206E-3</v>
      </c>
    </row>
    <row r="13" spans="1:17" ht="18" customHeight="1">
      <c r="A13" s="187"/>
      <c r="B13" s="37" t="s">
        <v>190</v>
      </c>
      <c r="C13" s="31"/>
      <c r="D13" s="31">
        <v>37.21124267578125</v>
      </c>
      <c r="E13" s="31">
        <v>38.292343139648438</v>
      </c>
      <c r="F13" s="31">
        <v>38.396652221679688</v>
      </c>
      <c r="G13" s="31">
        <v>38.590221405029297</v>
      </c>
      <c r="H13" s="31">
        <v>38.948719024658203</v>
      </c>
      <c r="I13" s="31">
        <v>39.277301788330078</v>
      </c>
      <c r="J13" s="31">
        <v>37.119125366210938</v>
      </c>
      <c r="K13" s="31">
        <v>36.943729400634766</v>
      </c>
      <c r="L13" s="31">
        <v>37.415046691894531</v>
      </c>
      <c r="M13" s="31">
        <v>37.339340209960938</v>
      </c>
      <c r="N13" s="31">
        <v>38.339458465576172</v>
      </c>
      <c r="O13" s="29">
        <f t="shared" si="0"/>
        <v>3.0319218297141563E-2</v>
      </c>
      <c r="P13" s="29">
        <f t="shared" si="1"/>
        <v>3.2876127530636484E-2</v>
      </c>
    </row>
    <row r="14" spans="1:17" ht="18" customHeight="1">
      <c r="A14" s="187"/>
      <c r="B14" s="37" t="s">
        <v>191</v>
      </c>
      <c r="C14" s="31"/>
      <c r="D14" s="31">
        <v>2.300384521484375</v>
      </c>
      <c r="E14" s="31">
        <v>2.3403434753417969</v>
      </c>
      <c r="F14" s="31">
        <v>2.3608167171478271</v>
      </c>
      <c r="G14" s="31">
        <v>2.3648791313171387</v>
      </c>
      <c r="H14" s="31">
        <v>3.2892851829528809</v>
      </c>
      <c r="I14" s="31">
        <v>2.3739693164825439</v>
      </c>
      <c r="J14" s="31">
        <v>2.2766289710998535</v>
      </c>
      <c r="K14" s="31">
        <v>2.2613110542297363</v>
      </c>
      <c r="L14" s="31">
        <v>2.3936033248901367</v>
      </c>
      <c r="M14" s="31">
        <v>2.4120993614196777</v>
      </c>
      <c r="N14" s="31">
        <v>2.7505440711975098</v>
      </c>
      <c r="O14" s="29">
        <f t="shared" si="0"/>
        <v>0.19568882745857599</v>
      </c>
      <c r="P14" s="29">
        <f t="shared" si="1"/>
        <v>0.2081652768692937</v>
      </c>
    </row>
    <row r="15" spans="1:17" ht="18" customHeight="1">
      <c r="A15" s="187"/>
      <c r="B15" s="37" t="s">
        <v>192</v>
      </c>
      <c r="C15" s="31"/>
      <c r="D15" s="31">
        <v>32.739189147949219</v>
      </c>
      <c r="E15" s="31">
        <v>33.412143707275391</v>
      </c>
      <c r="F15" s="31">
        <v>33.769725799560547</v>
      </c>
      <c r="G15" s="31">
        <v>33.832733154296875</v>
      </c>
      <c r="H15" s="31">
        <v>33.770305633544922</v>
      </c>
      <c r="I15" s="31">
        <v>34.18310546875</v>
      </c>
      <c r="J15" s="31">
        <v>32.937023162841797</v>
      </c>
      <c r="K15" s="31">
        <v>32.908832550048828</v>
      </c>
      <c r="L15" s="31">
        <v>33.398948669433594</v>
      </c>
      <c r="M15" s="31">
        <v>33.332878112792969</v>
      </c>
      <c r="N15" s="31">
        <v>33.703113555908203</v>
      </c>
      <c r="O15" s="29">
        <f t="shared" si="0"/>
        <v>2.9442525396795434E-2</v>
      </c>
      <c r="P15" s="29">
        <f t="shared" si="1"/>
        <v>2.3259248089265036E-2</v>
      </c>
    </row>
    <row r="16" spans="1:17" ht="18" customHeight="1">
      <c r="A16" s="187"/>
      <c r="B16" s="37" t="s">
        <v>193</v>
      </c>
      <c r="C16" s="33"/>
      <c r="D16" s="33">
        <v>1.3447270393371582</v>
      </c>
      <c r="E16" s="33">
        <v>1.3893696069717407</v>
      </c>
      <c r="F16" s="33">
        <v>1.4103924036026001</v>
      </c>
      <c r="G16" s="33">
        <v>1.3547942638397217</v>
      </c>
      <c r="H16" s="33">
        <v>1.2591586112976074</v>
      </c>
      <c r="I16" s="33">
        <v>1.1388516426086426</v>
      </c>
      <c r="J16" s="33">
        <v>1.1249948740005493</v>
      </c>
      <c r="K16" s="33">
        <v>1.0624352693557739</v>
      </c>
      <c r="L16" s="33">
        <v>1.1249468326568604</v>
      </c>
      <c r="M16" s="33">
        <v>1.0615478754043579</v>
      </c>
      <c r="N16" s="33">
        <v>1.0022611618041992</v>
      </c>
      <c r="O16" s="29">
        <f t="shared" si="0"/>
        <v>-0.25467315485956687</v>
      </c>
      <c r="P16" s="29">
        <f t="shared" si="1"/>
        <v>-0.10909713015838166</v>
      </c>
    </row>
    <row r="17" spans="1:16" ht="18" customHeight="1">
      <c r="A17" s="187"/>
      <c r="B17" s="37" t="s">
        <v>200</v>
      </c>
      <c r="C17" s="33"/>
      <c r="D17" s="33">
        <f ca="1">4.15948876953125*OFFSET(D$113,MATCH($N$1,$C$113:$C$114,0)-1,0)</f>
        <v>4.1594887695312499</v>
      </c>
      <c r="E17" s="33">
        <f ca="1">4.1541591796875*OFFSET(E$113,MATCH($N$1,$C$113:$C$114,0)-1,0)</f>
        <v>4.1541591796875004</v>
      </c>
      <c r="F17" s="33">
        <f ca="1">3.77613940429688*OFFSET(F$113,MATCH($N$1,$C$113:$C$114,0)-1,0)</f>
        <v>3.7761394042968801</v>
      </c>
      <c r="G17" s="33">
        <f ca="1">3.81281909179688*OFFSET(G$113,MATCH($N$1,$C$113:$C$114,0)-1,0)</f>
        <v>3.8128190917968801</v>
      </c>
      <c r="H17" s="33">
        <f ca="1">3.98637377929687*OFFSET(H$113,MATCH($N$1,$C$113:$C$114,0)-1,0)</f>
        <v>3.9863737792968701</v>
      </c>
      <c r="I17" s="33">
        <f ca="1">3.82183740234375*OFFSET(I$113,MATCH($N$1,$C$113:$C$114,0)-1,0)</f>
        <v>3.8218374023437498</v>
      </c>
      <c r="J17" s="33">
        <f ca="1">3.85136010742188*OFFSET(J$113,MATCH($N$1,$C$113:$C$114,0)-1,0)</f>
        <v>3.85136010742188</v>
      </c>
      <c r="K17" s="33">
        <f ca="1">3.63759619140625*OFFSET(K$113,MATCH($N$1,$C$113:$C$114,0)-1,0)</f>
        <v>3.6375961914062498</v>
      </c>
      <c r="L17" s="33">
        <f ca="1">3.5272373046875*OFFSET(L$113,MATCH($N$1,$C$113:$C$114,0)-1,0)</f>
        <v>3.5272373046875001</v>
      </c>
      <c r="M17" s="33">
        <f ca="1">3.78824365234375*OFFSET(M$113,MATCH($N$1,$C$113:$C$114,0)-1,0)</f>
        <v>3.7882436523437502</v>
      </c>
      <c r="N17" s="33">
        <v>3.5598576660156249</v>
      </c>
      <c r="O17" s="29">
        <f t="shared" ca="1" si="0"/>
        <v>-0.14415980826970712</v>
      </c>
      <c r="P17" s="29">
        <f t="shared" ca="1" si="1"/>
        <v>-7.5688181129701798E-2</v>
      </c>
    </row>
    <row r="18" spans="1:16" ht="18" customHeight="1">
      <c r="A18" s="187"/>
      <c r="B18" s="37" t="s">
        <v>195</v>
      </c>
      <c r="C18" s="31"/>
      <c r="D18" s="31">
        <v>23.43156623840332</v>
      </c>
      <c r="E18" s="31">
        <v>25.244192123413086</v>
      </c>
      <c r="F18" s="31">
        <v>27.532064437866211</v>
      </c>
      <c r="G18" s="31">
        <v>29.752969741821289</v>
      </c>
      <c r="H18" s="31">
        <v>25.027660369873047</v>
      </c>
      <c r="I18" s="31">
        <v>20.561626434326172</v>
      </c>
      <c r="J18" s="31">
        <v>18.849475860595703</v>
      </c>
      <c r="K18" s="31">
        <v>18.132125854492188</v>
      </c>
      <c r="L18" s="31">
        <v>17.895473480224609</v>
      </c>
      <c r="M18" s="31">
        <v>17.299406051635742</v>
      </c>
      <c r="N18" s="31">
        <v>15.708530426025391</v>
      </c>
      <c r="O18" s="29">
        <f t="shared" si="0"/>
        <v>-0.32959964066423392</v>
      </c>
      <c r="P18" s="29">
        <f t="shared" si="1"/>
        <v>-0.16663303838258814</v>
      </c>
    </row>
    <row r="19" spans="1:16" ht="18" customHeight="1">
      <c r="A19" s="187"/>
      <c r="B19" s="37" t="s">
        <v>201</v>
      </c>
      <c r="C19" s="31"/>
      <c r="D19" s="31">
        <v>24.480489730834961</v>
      </c>
      <c r="E19" s="31">
        <v>25.073257446289063</v>
      </c>
      <c r="F19" s="31">
        <v>25.465396881103516</v>
      </c>
      <c r="G19" s="31">
        <v>25.752374649047852</v>
      </c>
      <c r="H19" s="31">
        <v>26.146121978759766</v>
      </c>
      <c r="I19" s="31">
        <v>27.330904006958008</v>
      </c>
      <c r="J19" s="31">
        <v>27.86976432800293</v>
      </c>
      <c r="K19" s="31">
        <v>28.335346221923828</v>
      </c>
      <c r="L19" s="31">
        <v>26.608522415161133</v>
      </c>
      <c r="M19" s="31">
        <v>27.711738586425781</v>
      </c>
      <c r="N19" s="31">
        <v>27.907583236694336</v>
      </c>
      <c r="O19" s="29">
        <f t="shared" si="0"/>
        <v>0.13999284914397367</v>
      </c>
      <c r="P19" s="29">
        <f t="shared" si="1"/>
        <v>1.3569870288930516E-3</v>
      </c>
    </row>
    <row r="20" spans="1:16" ht="18" customHeight="1">
      <c r="A20" s="187"/>
      <c r="B20" s="37" t="s">
        <v>202</v>
      </c>
      <c r="C20" s="38"/>
      <c r="D20" s="38">
        <v>5.7389549911022186E-2</v>
      </c>
      <c r="E20" s="38">
        <v>5.5037196725606918E-2</v>
      </c>
      <c r="F20" s="38">
        <v>5.122726783156395E-2</v>
      </c>
      <c r="G20" s="38">
        <v>4.5534756034612656E-2</v>
      </c>
      <c r="H20" s="38">
        <v>5.0310678780078888E-2</v>
      </c>
      <c r="I20" s="38">
        <v>5.5387236177921295E-2</v>
      </c>
      <c r="J20" s="38">
        <v>5.9683084487915039E-2</v>
      </c>
      <c r="K20" s="38">
        <v>5.8594081550836563E-2</v>
      </c>
      <c r="L20" s="38">
        <v>6.2862090766429901E-2</v>
      </c>
      <c r="M20" s="38">
        <v>6.1363257467746735E-2</v>
      </c>
      <c r="N20" s="38">
        <v>6.3803620636463165E-2</v>
      </c>
      <c r="O20" s="29">
        <f t="shared" si="0"/>
        <v>0.11176373983391527</v>
      </c>
      <c r="P20" s="29">
        <f t="shared" si="1"/>
        <v>6.9040268007302397E-2</v>
      </c>
    </row>
    <row r="21" spans="1:16" ht="18" customHeight="1">
      <c r="A21" s="188"/>
      <c r="B21" s="39" t="s">
        <v>203</v>
      </c>
      <c r="C21" s="40"/>
      <c r="D21" s="40">
        <f ca="1">3093*OFFSET(D$113,MATCH($N$1,$C$113:$C$114,0)-1,0)</f>
        <v>3093</v>
      </c>
      <c r="E21" s="40">
        <f ca="1">2990*OFFSET(E$113,MATCH($N$1,$C$113:$C$114,0)-1,0)</f>
        <v>2990</v>
      </c>
      <c r="F21" s="40">
        <f ca="1">2677*OFFSET(F$113,MATCH($N$1,$C$113:$C$114,0)-1,0)</f>
        <v>2677</v>
      </c>
      <c r="G21" s="40">
        <f ca="1">2814*OFFSET(G$113,MATCH($N$1,$C$113:$C$114,0)-1,0)</f>
        <v>2814</v>
      </c>
      <c r="H21" s="40">
        <f ca="1">3166*OFFSET(H$113,MATCH($N$1,$C$113:$C$114,0)-1,0)</f>
        <v>3166</v>
      </c>
      <c r="I21" s="40">
        <f ca="1">3356*OFFSET(I$113,MATCH($N$1,$C$113:$C$114,0)-1,0)</f>
        <v>3356</v>
      </c>
      <c r="J21" s="40">
        <f ca="1">3423*OFFSET(J$113,MATCH($N$1,$C$113:$C$114,0)-1,0)</f>
        <v>3423</v>
      </c>
      <c r="K21" s="40">
        <f ca="1">3424*OFFSET(K$113,MATCH($N$1,$C$113:$C$114,0)-1,0)</f>
        <v>3424</v>
      </c>
      <c r="L21" s="40">
        <f ca="1">3135*OFFSET(L$113,MATCH($N$1,$C$113:$C$114,0)-1,0)</f>
        <v>3135</v>
      </c>
      <c r="M21" s="40">
        <f ca="1">3569*OFFSET(M$113,MATCH($N$1,$C$113:$C$114,0)-1,0)</f>
        <v>3569</v>
      </c>
      <c r="N21" s="40">
        <v>3552</v>
      </c>
      <c r="O21" s="34">
        <f t="shared" ca="1" si="0"/>
        <v>0.1483996120271581</v>
      </c>
      <c r="P21" s="34">
        <f t="shared" ca="1" si="1"/>
        <v>3.7686240140227867E-2</v>
      </c>
    </row>
    <row r="22" spans="1:16" ht="18" customHeight="1">
      <c r="A22" s="189" t="s">
        <v>204</v>
      </c>
      <c r="B22" s="35" t="s">
        <v>205</v>
      </c>
      <c r="C22" s="41"/>
      <c r="D22" s="41">
        <v>1.6885873937170193</v>
      </c>
      <c r="E22" s="41">
        <v>1.5783058401426224</v>
      </c>
      <c r="F22" s="41">
        <v>1.4114384911024449</v>
      </c>
      <c r="G22" s="41">
        <v>1.2766409891640842</v>
      </c>
      <c r="H22" s="41">
        <v>1.481686616534128</v>
      </c>
      <c r="I22" s="41">
        <v>1.4701633196761674</v>
      </c>
      <c r="J22" s="41">
        <v>1.7029172028150183</v>
      </c>
      <c r="K22" s="41">
        <v>1.6177519176774515</v>
      </c>
      <c r="L22" s="41">
        <v>1.7061623128636019</v>
      </c>
      <c r="M22" s="41">
        <v>1.7935237248816298</v>
      </c>
      <c r="N22" s="41">
        <v>1.867788869484232</v>
      </c>
      <c r="O22" s="29">
        <f t="shared" si="0"/>
        <v>0.10612508208576857</v>
      </c>
      <c r="P22" s="29">
        <f t="shared" si="1"/>
        <v>9.6817194868118905E-2</v>
      </c>
    </row>
    <row r="23" spans="1:16" ht="18" customHeight="1">
      <c r="A23" s="189"/>
      <c r="B23" s="37" t="s">
        <v>206</v>
      </c>
      <c r="C23" s="38"/>
      <c r="D23" s="38">
        <f ca="1">5.22311227117147*OFFSET(D$113,MATCH($N$1,$C$113:$C$114,0)-1,0)</f>
        <v>5.2231122711714697</v>
      </c>
      <c r="E23" s="38">
        <f ca="1">4.71907090905309*OFFSET(E$113,MATCH($N$1,$C$113:$C$114,0)-1,0)</f>
        <v>4.71907090905309</v>
      </c>
      <c r="F23" s="38">
        <f ca="1">3.77894016543145*OFFSET(F$113,MATCH($N$1,$C$113:$C$114,0)-1,0)</f>
        <v>3.7789401654314498</v>
      </c>
      <c r="G23" s="38">
        <f ca="1">3.5928710851341*OFFSET(G$113,MATCH($N$1,$C$113:$C$114,0)-1,0)</f>
        <v>3.5928710851340999</v>
      </c>
      <c r="H23" s="38">
        <f ca="1">4.6908758152397*OFFSET(H$113,MATCH($N$1,$C$113:$C$114,0)-1,0)</f>
        <v>4.6908758152396999</v>
      </c>
      <c r="I23" s="38">
        <f ca="1">4.93367612819351*OFFSET(I$113,MATCH($N$1,$C$113:$C$114,0)-1,0)</f>
        <v>4.9336761281935102</v>
      </c>
      <c r="J23" s="38">
        <f ca="1">5.82984645773684*OFFSET(J$113,MATCH($N$1,$C$113:$C$114,0)-1,0)</f>
        <v>5.8298464577368403</v>
      </c>
      <c r="K23" s="38">
        <f ca="1">5.53890517767917*OFFSET(K$113,MATCH($N$1,$C$113:$C$114,0)-1,0)</f>
        <v>5.5389051776791698</v>
      </c>
      <c r="L23" s="38">
        <f ca="1">5.34962114037977*OFFSET(L$113,MATCH($N$1,$C$113:$C$114,0)-1,0)</f>
        <v>5.34962114037977</v>
      </c>
      <c r="M23" s="38">
        <f ca="1">6.40037536085945*OFFSET(M$113,MATCH($N$1,$C$113:$C$114,0)-1,0)</f>
        <v>6.4003753608594502</v>
      </c>
      <c r="N23" s="38">
        <v>6.634061838296649</v>
      </c>
      <c r="O23" s="29">
        <f t="shared" ca="1" si="0"/>
        <v>0.27013579143469635</v>
      </c>
      <c r="P23" s="29">
        <f t="shared" ca="1" si="1"/>
        <v>0.1379479522127941</v>
      </c>
    </row>
    <row r="24" spans="1:16" ht="18" customHeight="1">
      <c r="A24" s="189"/>
      <c r="B24" s="37" t="s">
        <v>153</v>
      </c>
      <c r="C24" s="38"/>
      <c r="D24" s="38">
        <f ca="1">5.16880257721019*OFFSET(D$113,MATCH($N$1,$C$113:$C$114,0)-1,0)</f>
        <v>5.1688025772101902</v>
      </c>
      <c r="E24" s="38">
        <f ca="1">5.36000754019705*OFFSET(E$113,MATCH($N$1,$C$113:$C$114,0)-1,0)</f>
        <v>5.3600075401970502</v>
      </c>
      <c r="F24" s="38">
        <f ca="1">4.16992525649351*OFFSET(F$113,MATCH($N$1,$C$113:$C$114,0)-1,0)</f>
        <v>4.1699252564935101</v>
      </c>
      <c r="G24" s="38">
        <f ca="1">4.39273536874747*OFFSET(G$113,MATCH($N$1,$C$113:$C$114,0)-1,0)</f>
        <v>4.3927353687474699</v>
      </c>
      <c r="H24" s="38">
        <f ca="1">4.71380519600191*OFFSET(H$113,MATCH($N$1,$C$113:$C$114,0)-1,0)</f>
        <v>4.7138051960019096</v>
      </c>
      <c r="I24" s="38">
        <f ca="1">4.47790415033388*OFFSET(I$113,MATCH($N$1,$C$113:$C$114,0)-1,0)</f>
        <v>4.4779041503338801</v>
      </c>
      <c r="J24" s="38">
        <f ca="1">5.87351555332589*OFFSET(J$113,MATCH($N$1,$C$113:$C$114,0)-1,0)</f>
        <v>5.8735155533258903</v>
      </c>
      <c r="K24" s="38">
        <f ca="1">7.64558478445451*OFFSET(K$113,MATCH($N$1,$C$113:$C$114,0)-1,0)</f>
        <v>7.6455847844545097</v>
      </c>
      <c r="L24" s="38">
        <f ca="1">7.42162307471422*OFFSET(L$113,MATCH($N$1,$C$113:$C$114,0)-1,0)</f>
        <v>7.42162307471422</v>
      </c>
      <c r="M24" s="38">
        <f ca="1">10.1552699788138*OFFSET(M$113,MATCH($N$1,$C$113:$C$114,0)-1,0)</f>
        <v>10.1552699788138</v>
      </c>
      <c r="N24" s="38">
        <v>10.503784931794794</v>
      </c>
      <c r="O24" s="29">
        <f t="shared" ca="1" si="0"/>
        <v>1.0321505367814043</v>
      </c>
      <c r="P24" s="29">
        <f t="shared" ca="1" si="1"/>
        <v>0.78833014681420299</v>
      </c>
    </row>
    <row r="25" spans="1:16" ht="18" customHeight="1">
      <c r="A25" s="189"/>
      <c r="B25" s="37" t="s">
        <v>154</v>
      </c>
      <c r="C25" s="38"/>
      <c r="D25" s="38">
        <f ca="1">1.14914309508487*OFFSET(D$113,MATCH($N$1,$C$113:$C$114,0)-1,0)</f>
        <v>1.14914309508487</v>
      </c>
      <c r="E25" s="38">
        <f ca="1">0.0378348887517594*OFFSET(E$113,MATCH($N$1,$C$113:$C$114,0)-1,0)</f>
        <v>3.7834888751759402E-2</v>
      </c>
      <c r="F25" s="38">
        <f ca="1">0.760016044606302*OFFSET(F$113,MATCH($N$1,$C$113:$C$114,0)-1,0)</f>
        <v>0.76001604460630201</v>
      </c>
      <c r="G25" s="38">
        <f ca="1">-0.566404578042645*OFFSET(G$113,MATCH($N$1,$C$113:$C$114,0)-1,0)</f>
        <v>-0.56640457804264499</v>
      </c>
      <c r="H25" s="38">
        <f ca="1">0.888075571419224*OFFSET(H$113,MATCH($N$1,$C$113:$C$114,0)-1,0)</f>
        <v>0.888075571419224</v>
      </c>
      <c r="I25" s="38">
        <f ca="1">1.48742372013316*OFFSET(I$113,MATCH($N$1,$C$113:$C$114,0)-1,0)</f>
        <v>1.4874237201331599</v>
      </c>
      <c r="J25" s="38">
        <f ca="1">0.288296941072994*OFFSET(J$113,MATCH($N$1,$C$113:$C$114,0)-1,0)</f>
        <v>0.28829694107299397</v>
      </c>
      <c r="K25" s="38">
        <f ca="1">0.184403739662132*OFFSET(K$113,MATCH($N$1,$C$113:$C$114,0)-1,0)</f>
        <v>0.184403739662132</v>
      </c>
      <c r="L25" s="38">
        <f ca="1">0.930071069388139*OFFSET(L$113,MATCH($N$1,$C$113:$C$114,0)-1,0)</f>
        <v>0.93007106938813899</v>
      </c>
      <c r="M25" s="38">
        <f ca="1">-1.49458165568169*OFFSET(M$113,MATCH($N$1,$C$113:$C$114,0)-1,0)</f>
        <v>-1.49458165568169</v>
      </c>
      <c r="N25" s="38">
        <v>-1.6756503631150457</v>
      </c>
      <c r="O25" s="29">
        <f t="shared" ca="1" si="0"/>
        <v>-2.4581738081899109</v>
      </c>
      <c r="P25" s="29">
        <f t="shared" ca="1" si="1"/>
        <v>-6.8122377465350468</v>
      </c>
    </row>
    <row r="26" spans="1:16" ht="18" customHeight="1">
      <c r="A26" s="189"/>
      <c r="B26" s="37" t="s">
        <v>207</v>
      </c>
      <c r="C26" s="33"/>
      <c r="D26" s="33">
        <f ca="1">40.86*OFFSET(D$113,MATCH($N$1,$C$113:$C$114,0)-1,0)</f>
        <v>40.86</v>
      </c>
      <c r="E26" s="33">
        <f ca="1">33.5*OFFSET(E$113,MATCH($N$1,$C$113:$C$114,0)-1,0)</f>
        <v>33.5</v>
      </c>
      <c r="F26" s="33">
        <f ca="1">31*OFFSET(F$113,MATCH($N$1,$C$113:$C$114,0)-1,0)</f>
        <v>31</v>
      </c>
      <c r="G26" s="33">
        <f ca="1">31.19*OFFSET(G$113,MATCH($N$1,$C$113:$C$114,0)-1,0)</f>
        <v>31.19</v>
      </c>
      <c r="H26" s="33">
        <f ca="1">39.51*OFFSET(H$113,MATCH($N$1,$C$113:$C$114,0)-1,0)</f>
        <v>39.51</v>
      </c>
      <c r="I26" s="33">
        <f ca="1">41.72*OFFSET(I$113,MATCH($N$1,$C$113:$C$114,0)-1,0)</f>
        <v>41.72</v>
      </c>
      <c r="J26" s="33">
        <f ca="1">46.68*OFFSET(J$113,MATCH($N$1,$C$113:$C$114,0)-1,0)</f>
        <v>46.68</v>
      </c>
      <c r="K26" s="33">
        <f ca="1">58.42*OFFSET(K$113,MATCH($N$1,$C$113:$C$114,0)-1,0)</f>
        <v>58.42</v>
      </c>
      <c r="L26" s="33">
        <f ca="1">52.26*OFFSET(L$113,MATCH($N$1,$C$113:$C$114,0)-1,0)</f>
        <v>52.26</v>
      </c>
      <c r="M26" s="33">
        <f ca="1">62.05*OFFSET(M$113,MATCH($N$1,$C$113:$C$114,0)-1,0)</f>
        <v>62.05</v>
      </c>
      <c r="N26" s="33">
        <v>64.430000000000007</v>
      </c>
      <c r="O26" s="29">
        <f t="shared" ca="1" si="0"/>
        <v>0.57684777288301536</v>
      </c>
      <c r="P26" s="29">
        <f t="shared" ca="1" si="1"/>
        <v>0.38024850042844915</v>
      </c>
    </row>
    <row r="27" spans="1:16" ht="18" customHeight="1">
      <c r="A27" s="190"/>
      <c r="B27" s="37" t="s">
        <v>208</v>
      </c>
      <c r="C27" s="33"/>
      <c r="D27" s="33">
        <f ca="1">8.76*OFFSET(D$113,MATCH($N$1,$C$113:$C$114,0)-1,0)</f>
        <v>8.76</v>
      </c>
      <c r="E27" s="33"/>
      <c r="F27" s="33">
        <f ca="1">6.53*OFFSET(F$113,MATCH($N$1,$C$113:$C$114,0)-1,0)</f>
        <v>6.53</v>
      </c>
      <c r="G27" s="33">
        <f ca="1">-4.92*OFFSET(G$113,MATCH($N$1,$C$113:$C$114,0)-1,0)</f>
        <v>-4.92</v>
      </c>
      <c r="H27" s="33">
        <f ca="1">7.9*OFFSET(H$113,MATCH($N$1,$C$113:$C$114,0)-1,0)</f>
        <v>7.9</v>
      </c>
      <c r="I27" s="33">
        <f ca="1">13.17*OFFSET(I$113,MATCH($N$1,$C$113:$C$114,0)-1,0)</f>
        <v>13.17</v>
      </c>
      <c r="J27" s="33">
        <f ca="1">2.39*OFFSET(J$113,MATCH($N$1,$C$113:$C$114,0)-1,0)</f>
        <v>2.39</v>
      </c>
      <c r="K27" s="33">
        <f ca="1">1.62*OFFSET(K$113,MATCH($N$1,$C$113:$C$114,0)-1,0)</f>
        <v>1.62</v>
      </c>
      <c r="L27" s="33">
        <f ca="1">8.96*OFFSET(L$113,MATCH($N$1,$C$113:$C$114,0)-1,0)</f>
        <v>8.9600000000000009</v>
      </c>
      <c r="M27" s="33">
        <f ca="1">-14.7*OFFSET(M$113,MATCH($N$1,$C$113:$C$114,0)-1,0)</f>
        <v>-14.7</v>
      </c>
      <c r="N27" s="33">
        <v>-16.11</v>
      </c>
      <c r="O27" s="34">
        <f t="shared" ca="1" si="0"/>
        <v>-2.8390410958904106</v>
      </c>
      <c r="P27" s="34">
        <f t="shared" ca="1" si="1"/>
        <v>-7.7405857740585766</v>
      </c>
    </row>
    <row r="28" spans="1:16" s="78" customFormat="1" ht="18" customHeight="1">
      <c r="A28" s="191" t="s">
        <v>209</v>
      </c>
      <c r="B28" s="82" t="s">
        <v>200</v>
      </c>
      <c r="C28" s="83"/>
      <c r="D28" s="83">
        <f ca="1">4.2*OFFSET(D$113,MATCH($N$1,$C$113:$C$114,0)-1,0)</f>
        <v>4.2</v>
      </c>
      <c r="E28" s="83">
        <f ca="1">4.2*OFFSET(E$113,MATCH($N$1,$C$113:$C$114,0)-1,0)</f>
        <v>4.2</v>
      </c>
      <c r="F28" s="83">
        <f ca="1">3.8*OFFSET(F$113,MATCH($N$1,$C$113:$C$114,0)-1,0)</f>
        <v>3.8</v>
      </c>
      <c r="G28" s="83">
        <f ca="1">3.8*OFFSET(G$113,MATCH($N$1,$C$113:$C$114,0)-1,0)</f>
        <v>3.8</v>
      </c>
      <c r="H28" s="83">
        <f ca="1">4*OFFSET(H$113,MATCH($N$1,$C$113:$C$114,0)-1,0)</f>
        <v>4</v>
      </c>
      <c r="I28" s="83">
        <f ca="1">3.8*OFFSET(I$113,MATCH($N$1,$C$113:$C$114,0)-1,0)</f>
        <v>3.8</v>
      </c>
      <c r="J28" s="83">
        <f ca="1">3.9*OFFSET(J$113,MATCH($N$1,$C$113:$C$114,0)-1,0)</f>
        <v>3.9</v>
      </c>
      <c r="K28" s="83">
        <f ca="1">3.6*OFFSET(K$113,MATCH($N$1,$C$113:$C$114,0)-1,0)</f>
        <v>3.6</v>
      </c>
      <c r="L28" s="83">
        <f ca="1">3.5*OFFSET(L$113,MATCH($N$1,$C$113:$C$114,0)-1,0)</f>
        <v>3.5</v>
      </c>
      <c r="M28" s="83">
        <f ca="1">3.8*OFFSET(M$113,MATCH($N$1,$C$113:$C$114,0)-1,0)</f>
        <v>3.8</v>
      </c>
      <c r="N28" s="83">
        <v>3.6</v>
      </c>
      <c r="O28" s="84">
        <f t="shared" ca="1" si="0"/>
        <v>-0.14285714285714288</v>
      </c>
      <c r="P28" s="84">
        <f t="shared" ca="1" si="1"/>
        <v>-7.6923076923076886E-2</v>
      </c>
    </row>
    <row r="29" spans="1:16" s="78" customFormat="1" ht="18" customHeight="1">
      <c r="A29" s="192"/>
      <c r="B29" s="85" t="s">
        <v>210</v>
      </c>
      <c r="C29" s="86"/>
      <c r="D29" s="86">
        <f ca="1">0.9*OFFSET(D$113,MATCH($N$1,$C$113:$C$114,0)-1,0)</f>
        <v>0.9</v>
      </c>
      <c r="E29" s="86">
        <f ca="1">0.6*OFFSET(E$113,MATCH($N$1,$C$113:$C$114,0)-1,0)</f>
        <v>0.6</v>
      </c>
      <c r="F29" s="86">
        <f ca="1">1.2*OFFSET(F$113,MATCH($N$1,$C$113:$C$114,0)-1,0)</f>
        <v>1.2</v>
      </c>
      <c r="G29" s="86">
        <f ca="1">0.2*OFFSET(G$113,MATCH($N$1,$C$113:$C$114,0)-1,0)</f>
        <v>0.2</v>
      </c>
      <c r="H29" s="86">
        <f ca="1">0.8*OFFSET(H$113,MATCH($N$1,$C$113:$C$114,0)-1,0)</f>
        <v>0.8</v>
      </c>
      <c r="I29" s="86">
        <f ca="1">0.8*OFFSET(I$113,MATCH($N$1,$C$113:$C$114,0)-1,0)</f>
        <v>0.8</v>
      </c>
      <c r="J29" s="86">
        <f ca="1">0.2*OFFSET(J$113,MATCH($N$1,$C$113:$C$114,0)-1,0)</f>
        <v>0.2</v>
      </c>
      <c r="K29" s="86">
        <f ca="1">1.5*OFFSET(K$113,MATCH($N$1,$C$113:$C$114,0)-1,0)</f>
        <v>1.5</v>
      </c>
      <c r="L29" s="86">
        <f ca="1">2*OFFSET(L$113,MATCH($N$1,$C$113:$C$114,0)-1,0)</f>
        <v>2</v>
      </c>
      <c r="M29" s="86">
        <f ca="1">1.3*OFFSET(M$113,MATCH($N$1,$C$113:$C$114,0)-1,0)</f>
        <v>1.3</v>
      </c>
      <c r="N29" s="86">
        <v>1.2</v>
      </c>
      <c r="O29" s="84">
        <f t="shared" ca="1" si="0"/>
        <v>0.33333333333333326</v>
      </c>
      <c r="P29" s="84">
        <f t="shared" ca="1" si="1"/>
        <v>5</v>
      </c>
    </row>
    <row r="30" spans="1:16" s="78" customFormat="1" ht="18" customHeight="1">
      <c r="A30" s="192"/>
      <c r="B30" s="87" t="s">
        <v>211</v>
      </c>
      <c r="C30" s="88"/>
      <c r="D30" s="88">
        <f ca="1">5*OFFSET(D$113,MATCH($N$1,$C$113:$C$114,0)-1,0)</f>
        <v>5</v>
      </c>
      <c r="E30" s="88">
        <f ca="1">4.8*OFFSET(E$113,MATCH($N$1,$C$113:$C$114,0)-1,0)</f>
        <v>4.8</v>
      </c>
      <c r="F30" s="88">
        <f ca="1">4.9*OFFSET(F$113,MATCH($N$1,$C$113:$C$114,0)-1,0)</f>
        <v>4.9000000000000004</v>
      </c>
      <c r="G30" s="88">
        <f ca="1">4.1*OFFSET(G$113,MATCH($N$1,$C$113:$C$114,0)-1,0)</f>
        <v>4.0999999999999996</v>
      </c>
      <c r="H30" s="88">
        <f ca="1">4.8*OFFSET(H$113,MATCH($N$1,$C$113:$C$114,0)-1,0)</f>
        <v>4.8</v>
      </c>
      <c r="I30" s="88">
        <f ca="1">4.6*OFFSET(I$113,MATCH($N$1,$C$113:$C$114,0)-1,0)</f>
        <v>4.5999999999999996</v>
      </c>
      <c r="J30" s="88">
        <f ca="1">4.1*OFFSET(J$113,MATCH($N$1,$C$113:$C$114,0)-1,0)</f>
        <v>4.0999999999999996</v>
      </c>
      <c r="K30" s="88">
        <f ca="1">5.1*OFFSET(K$113,MATCH($N$1,$C$113:$C$114,0)-1,0)</f>
        <v>5.0999999999999996</v>
      </c>
      <c r="L30" s="88">
        <f ca="1">5.5*OFFSET(L$113,MATCH($N$1,$C$113:$C$114,0)-1,0)</f>
        <v>5.5</v>
      </c>
      <c r="M30" s="88">
        <f ca="1">5.1*OFFSET(M$113,MATCH($N$1,$C$113:$C$114,0)-1,0)</f>
        <v>5.0999999999999996</v>
      </c>
      <c r="N30" s="88">
        <v>4.7</v>
      </c>
      <c r="O30" s="84">
        <f t="shared" ca="1" si="0"/>
        <v>-5.9999999999999963E-2</v>
      </c>
      <c r="P30" s="84">
        <f t="shared" ca="1" si="1"/>
        <v>0.14634146341463428</v>
      </c>
    </row>
    <row r="31" spans="1:16" s="78" customFormat="1" ht="18" customHeight="1">
      <c r="A31" s="192"/>
      <c r="B31" s="85" t="s">
        <v>212</v>
      </c>
      <c r="C31" s="86"/>
      <c r="D31" s="86">
        <f ca="1">0.9*OFFSET(D$113,MATCH($N$1,$C$113:$C$114,0)-1,0)</f>
        <v>0.9</v>
      </c>
      <c r="E31" s="86">
        <f ca="1">1*OFFSET(E$113,MATCH($N$1,$C$113:$C$114,0)-1,0)</f>
        <v>1</v>
      </c>
      <c r="F31" s="86">
        <f ca="1">1*OFFSET(F$113,MATCH($N$1,$C$113:$C$114,0)-1,0)</f>
        <v>1</v>
      </c>
      <c r="G31" s="86">
        <f ca="1">0.7*OFFSET(G$113,MATCH($N$1,$C$113:$C$114,0)-1,0)</f>
        <v>0.7</v>
      </c>
      <c r="H31" s="86">
        <f ca="1">0.6*OFFSET(H$113,MATCH($N$1,$C$113:$C$114,0)-1,0)</f>
        <v>0.6</v>
      </c>
      <c r="I31" s="86">
        <f ca="1">0.6*OFFSET(I$113,MATCH($N$1,$C$113:$C$114,0)-1,0)</f>
        <v>0.6</v>
      </c>
      <c r="J31" s="86">
        <f ca="1">0.6*OFFSET(J$113,MATCH($N$1,$C$113:$C$114,0)-1,0)</f>
        <v>0.6</v>
      </c>
      <c r="K31" s="86">
        <f ca="1">0.6*OFFSET(K$113,MATCH($N$1,$C$113:$C$114,0)-1,0)</f>
        <v>0.6</v>
      </c>
      <c r="L31" s="86">
        <f ca="1">0.4*OFFSET(L$113,MATCH($N$1,$C$113:$C$114,0)-1,0)</f>
        <v>0.4</v>
      </c>
      <c r="M31" s="86">
        <f ca="1">0.5*OFFSET(M$113,MATCH($N$1,$C$113:$C$114,0)-1,0)</f>
        <v>0.5</v>
      </c>
      <c r="N31" s="86">
        <v>0.8</v>
      </c>
      <c r="O31" s="84">
        <f t="shared" ca="1" si="0"/>
        <v>-0.11111111111111108</v>
      </c>
      <c r="P31" s="84">
        <f t="shared" ca="1" si="1"/>
        <v>0.33333333333333348</v>
      </c>
    </row>
    <row r="32" spans="1:16" s="78" customFormat="1" ht="18" customHeight="1">
      <c r="A32" s="192"/>
      <c r="B32" s="85" t="s">
        <v>213</v>
      </c>
      <c r="C32" s="86"/>
      <c r="D32" s="86">
        <f ca="1">1.1*OFFSET(D$113,MATCH($N$1,$C$113:$C$114,0)-1,0)</f>
        <v>1.1000000000000001</v>
      </c>
      <c r="E32" s="86">
        <f ca="1">1.3*OFFSET(E$113,MATCH($N$1,$C$113:$C$114,0)-1,0)</f>
        <v>1.3</v>
      </c>
      <c r="F32" s="86">
        <f ca="1">0.9*OFFSET(F$113,MATCH($N$1,$C$113:$C$114,0)-1,0)</f>
        <v>0.9</v>
      </c>
      <c r="G32" s="86">
        <f ca="1">1.5*OFFSET(G$113,MATCH($N$1,$C$113:$C$114,0)-1,0)</f>
        <v>1.5</v>
      </c>
      <c r="H32" s="86">
        <f ca="1">1.5*OFFSET(H$113,MATCH($N$1,$C$113:$C$114,0)-1,0)</f>
        <v>1.5</v>
      </c>
      <c r="I32" s="86">
        <f ca="1">0.7*OFFSET(I$113,MATCH($N$1,$C$113:$C$114,0)-1,0)</f>
        <v>0.7</v>
      </c>
      <c r="J32" s="86">
        <f ca="1">1.1*OFFSET(J$113,MATCH($N$1,$C$113:$C$114,0)-1,0)</f>
        <v>1.1000000000000001</v>
      </c>
      <c r="K32" s="86">
        <f ca="1">1.6*OFFSET(K$113,MATCH($N$1,$C$113:$C$114,0)-1,0)</f>
        <v>1.6</v>
      </c>
      <c r="L32" s="86">
        <f ca="1">1.7*OFFSET(L$113,MATCH($N$1,$C$113:$C$114,0)-1,0)</f>
        <v>1.7</v>
      </c>
      <c r="M32" s="86">
        <f ca="1">2*OFFSET(M$113,MATCH($N$1,$C$113:$C$114,0)-1,0)</f>
        <v>2</v>
      </c>
      <c r="N32" s="86">
        <v>1.6</v>
      </c>
      <c r="O32" s="84">
        <f t="shared" ca="1" si="0"/>
        <v>0.45454545454545453</v>
      </c>
      <c r="P32" s="84">
        <f t="shared" ca="1" si="1"/>
        <v>0.45454545454545453</v>
      </c>
    </row>
    <row r="33" spans="1:16" s="78" customFormat="1" ht="18" customHeight="1">
      <c r="A33" s="192"/>
      <c r="B33" s="85" t="s">
        <v>214</v>
      </c>
      <c r="C33" s="86"/>
      <c r="D33" s="86">
        <f ca="1">0.7*OFFSET(D$113,MATCH($N$1,$C$113:$C$114,0)-1,0)</f>
        <v>0.7</v>
      </c>
      <c r="E33" s="86">
        <f ca="1">1*OFFSET(E$113,MATCH($N$1,$C$113:$C$114,0)-1,0)</f>
        <v>1</v>
      </c>
      <c r="F33" s="86">
        <f ca="1">1.1*OFFSET(F$113,MATCH($N$1,$C$113:$C$114,0)-1,0)</f>
        <v>1.1000000000000001</v>
      </c>
      <c r="G33" s="86">
        <f ca="1">0.9*OFFSET(G$113,MATCH($N$1,$C$113:$C$114,0)-1,0)</f>
        <v>0.9</v>
      </c>
      <c r="H33" s="86">
        <f ca="1">0.8*OFFSET(H$113,MATCH($N$1,$C$113:$C$114,0)-1,0)</f>
        <v>0.8</v>
      </c>
      <c r="I33" s="86">
        <f ca="1">0.9*OFFSET(I$113,MATCH($N$1,$C$113:$C$114,0)-1,0)</f>
        <v>0.9</v>
      </c>
      <c r="J33" s="86">
        <f ca="1">0.8*OFFSET(J$113,MATCH($N$1,$C$113:$C$114,0)-1,0)</f>
        <v>0.8</v>
      </c>
      <c r="K33" s="86">
        <f ca="1">1*OFFSET(K$113,MATCH($N$1,$C$113:$C$114,0)-1,0)</f>
        <v>1</v>
      </c>
      <c r="L33" s="86">
        <f ca="1">1*OFFSET(L$113,MATCH($N$1,$C$113:$C$114,0)-1,0)</f>
        <v>1</v>
      </c>
      <c r="M33" s="86">
        <f ca="1">1.4*OFFSET(M$113,MATCH($N$1,$C$113:$C$114,0)-1,0)</f>
        <v>1.4</v>
      </c>
      <c r="N33" s="86">
        <v>1.3</v>
      </c>
      <c r="O33" s="84">
        <f t="shared" ca="1" si="0"/>
        <v>0.85714285714285732</v>
      </c>
      <c r="P33" s="84">
        <f t="shared" ca="1" si="1"/>
        <v>0.625</v>
      </c>
    </row>
    <row r="34" spans="1:16" s="78" customFormat="1" ht="18" customHeight="1">
      <c r="A34" s="192"/>
      <c r="B34" s="85" t="s">
        <v>215</v>
      </c>
      <c r="C34" s="86"/>
      <c r="D34" s="86">
        <f ca="1">2.8*OFFSET(D$113,MATCH($N$1,$C$113:$C$114,0)-1,0)</f>
        <v>2.8</v>
      </c>
      <c r="E34" s="86">
        <f ca="1">3.2*OFFSET(E$113,MATCH($N$1,$C$113:$C$114,0)-1,0)</f>
        <v>3.2</v>
      </c>
      <c r="F34" s="86">
        <f ca="1">2.9*OFFSET(F$113,MATCH($N$1,$C$113:$C$114,0)-1,0)</f>
        <v>2.9</v>
      </c>
      <c r="G34" s="86">
        <f ca="1">3.1*OFFSET(G$113,MATCH($N$1,$C$113:$C$114,0)-1,0)</f>
        <v>3.1</v>
      </c>
      <c r="H34" s="86">
        <f ca="1">2.8*OFFSET(H$113,MATCH($N$1,$C$113:$C$114,0)-1,0)</f>
        <v>2.8</v>
      </c>
      <c r="I34" s="86">
        <f ca="1">2.2*OFFSET(I$113,MATCH($N$1,$C$113:$C$114,0)-1,0)</f>
        <v>2.2000000000000002</v>
      </c>
      <c r="J34" s="86">
        <f ca="1">2.6*OFFSET(J$113,MATCH($N$1,$C$113:$C$114,0)-1,0)</f>
        <v>2.6</v>
      </c>
      <c r="K34" s="86">
        <f ca="1">3.1*OFFSET(K$113,MATCH($N$1,$C$113:$C$114,0)-1,0)</f>
        <v>3.1</v>
      </c>
      <c r="L34" s="86">
        <f ca="1">3.1*OFFSET(L$113,MATCH($N$1,$C$113:$C$114,0)-1,0)</f>
        <v>3.1</v>
      </c>
      <c r="M34" s="86">
        <f ca="1">3.9*OFFSET(M$113,MATCH($N$1,$C$113:$C$114,0)-1,0)</f>
        <v>3.9</v>
      </c>
      <c r="N34" s="86">
        <v>3.6</v>
      </c>
      <c r="O34" s="84">
        <f t="shared" ca="1" si="0"/>
        <v>0.28571428571428581</v>
      </c>
      <c r="P34" s="84">
        <f t="shared" ca="1" si="1"/>
        <v>0.38461538461538458</v>
      </c>
    </row>
    <row r="35" spans="1:16" s="78" customFormat="1" ht="18" customHeight="1">
      <c r="A35" s="192"/>
      <c r="B35" s="85" t="s">
        <v>216</v>
      </c>
      <c r="C35" s="86"/>
      <c r="D35" s="86">
        <f ca="1">1.4*OFFSET(D$113,MATCH($N$1,$C$113:$C$114,0)-1,0)</f>
        <v>1.4</v>
      </c>
      <c r="E35" s="86">
        <f ca="1">1.5*OFFSET(E$113,MATCH($N$1,$C$113:$C$114,0)-1,0)</f>
        <v>1.5</v>
      </c>
      <c r="F35" s="86">
        <f ca="1">1.3*OFFSET(F$113,MATCH($N$1,$C$113:$C$114,0)-1,0)</f>
        <v>1.3</v>
      </c>
      <c r="G35" s="86">
        <f ca="1">1.5*OFFSET(G$113,MATCH($N$1,$C$113:$C$114,0)-1,0)</f>
        <v>1.5</v>
      </c>
      <c r="H35" s="86">
        <f ca="1">1.2*OFFSET(H$113,MATCH($N$1,$C$113:$C$114,0)-1,0)</f>
        <v>1.2</v>
      </c>
      <c r="I35" s="86">
        <f ca="1">1.2*OFFSET(I$113,MATCH($N$1,$C$113:$C$114,0)-1,0)</f>
        <v>1.2</v>
      </c>
      <c r="J35" s="86">
        <f ca="1">1.3*OFFSET(J$113,MATCH($N$1,$C$113:$C$114,0)-1,0)</f>
        <v>1.3</v>
      </c>
      <c r="K35" s="86">
        <f ca="1">1.9*OFFSET(K$113,MATCH($N$1,$C$113:$C$114,0)-1,0)</f>
        <v>1.9</v>
      </c>
      <c r="L35" s="86">
        <f ca="1">1.8*OFFSET(L$113,MATCH($N$1,$C$113:$C$114,0)-1,0)</f>
        <v>1.8</v>
      </c>
      <c r="M35" s="86">
        <f ca="1">2.1*OFFSET(M$113,MATCH($N$1,$C$113:$C$114,0)-1,0)</f>
        <v>2.1</v>
      </c>
      <c r="N35" s="86">
        <v>2</v>
      </c>
      <c r="O35" s="84">
        <f t="shared" ca="1" si="0"/>
        <v>0.42857142857142866</v>
      </c>
      <c r="P35" s="84">
        <f t="shared" ca="1" si="1"/>
        <v>0.53846153846153844</v>
      </c>
    </row>
    <row r="36" spans="1:16" s="78" customFormat="1" ht="18" customHeight="1">
      <c r="A36" s="192"/>
      <c r="B36" s="85" t="s">
        <v>217</v>
      </c>
      <c r="C36" s="86"/>
      <c r="D36" s="86">
        <f ca="1">4.1*OFFSET(D$113,MATCH($N$1,$C$113:$C$114,0)-1,0)</f>
        <v>4.0999999999999996</v>
      </c>
      <c r="E36" s="86">
        <f ca="1">4.7*OFFSET(E$113,MATCH($N$1,$C$113:$C$114,0)-1,0)</f>
        <v>4.7</v>
      </c>
      <c r="F36" s="86">
        <f ca="1">4.2*OFFSET(F$113,MATCH($N$1,$C$113:$C$114,0)-1,0)</f>
        <v>4.2</v>
      </c>
      <c r="G36" s="86">
        <f ca="1">4.7*OFFSET(G$113,MATCH($N$1,$C$113:$C$114,0)-1,0)</f>
        <v>4.7</v>
      </c>
      <c r="H36" s="86">
        <f ca="1">4*OFFSET(H$113,MATCH($N$1,$C$113:$C$114,0)-1,0)</f>
        <v>4</v>
      </c>
      <c r="I36" s="86">
        <f ca="1">3.5*OFFSET(I$113,MATCH($N$1,$C$113:$C$114,0)-1,0)</f>
        <v>3.5</v>
      </c>
      <c r="J36" s="86">
        <f ca="1">3.9*OFFSET(J$113,MATCH($N$1,$C$113:$C$114,0)-1,0)</f>
        <v>3.9</v>
      </c>
      <c r="K36" s="86">
        <f ca="1">5*OFFSET(K$113,MATCH($N$1,$C$113:$C$114,0)-1,0)</f>
        <v>5</v>
      </c>
      <c r="L36" s="86">
        <f ca="1">4.9*OFFSET(L$113,MATCH($N$1,$C$113:$C$114,0)-1,0)</f>
        <v>4.9000000000000004</v>
      </c>
      <c r="M36" s="86">
        <f ca="1">6*OFFSET(M$113,MATCH($N$1,$C$113:$C$114,0)-1,0)</f>
        <v>6</v>
      </c>
      <c r="N36" s="86">
        <v>5.6000000000000005</v>
      </c>
      <c r="O36" s="84">
        <f t="shared" ca="1" si="0"/>
        <v>0.36585365853658564</v>
      </c>
      <c r="P36" s="84">
        <f t="shared" ca="1" si="1"/>
        <v>0.43589743589743607</v>
      </c>
    </row>
    <row r="37" spans="1:16" s="78" customFormat="1" ht="18" customHeight="1">
      <c r="A37" s="192"/>
      <c r="B37" s="87" t="s">
        <v>218</v>
      </c>
      <c r="C37" s="88"/>
      <c r="D37" s="88">
        <f ca="1">2*OFFSET(D$113,MATCH($N$1,$C$113:$C$114,0)-1,0)</f>
        <v>2</v>
      </c>
      <c r="E37" s="88">
        <f ca="1">1.3*OFFSET(E$113,MATCH($N$1,$C$113:$C$114,0)-1,0)</f>
        <v>1.3</v>
      </c>
      <c r="F37" s="88">
        <f ca="1">1.7*OFFSET(F$113,MATCH($N$1,$C$113:$C$114,0)-1,0)</f>
        <v>1.7</v>
      </c>
      <c r="G37" s="88">
        <f ca="1">0.9*OFFSET(G$113,MATCH($N$1,$C$113:$C$114,0)-1,0)</f>
        <v>0.9</v>
      </c>
      <c r="H37" s="88">
        <f ca="1">2.3*OFFSET(H$113,MATCH($N$1,$C$113:$C$114,0)-1,0)</f>
        <v>2.2999999999999998</v>
      </c>
      <c r="I37" s="88">
        <f ca="1">1.9*OFFSET(I$113,MATCH($N$1,$C$113:$C$114,0)-1,0)</f>
        <v>1.9</v>
      </c>
      <c r="J37" s="88">
        <f ca="1">1.3*OFFSET(J$113,MATCH($N$1,$C$113:$C$114,0)-1,0)</f>
        <v>1.3</v>
      </c>
      <c r="K37" s="88">
        <f ca="1">1.7*OFFSET(K$113,MATCH($N$1,$C$113:$C$114,0)-1,0)</f>
        <v>1.7</v>
      </c>
      <c r="L37" s="88">
        <f ca="1">2.3*OFFSET(L$113,MATCH($N$1,$C$113:$C$114,0)-1,0)</f>
        <v>2.2999999999999998</v>
      </c>
      <c r="M37" s="88">
        <f ca="1">1.1*OFFSET(M$113,MATCH($N$1,$C$113:$C$114,0)-1,0)</f>
        <v>1.1000000000000001</v>
      </c>
      <c r="N37" s="88">
        <v>0.70000000000000007</v>
      </c>
      <c r="O37" s="84">
        <f t="shared" ca="1" si="0"/>
        <v>-0.64999999999999991</v>
      </c>
      <c r="P37" s="84">
        <f t="shared" ca="1" si="1"/>
        <v>-0.46153846153846151</v>
      </c>
    </row>
    <row r="38" spans="1:16" s="78" customFormat="1" ht="18" customHeight="1">
      <c r="A38" s="192"/>
      <c r="B38" s="87" t="s">
        <v>219</v>
      </c>
      <c r="C38" s="88"/>
      <c r="D38" s="88">
        <f ca="1">0.9*OFFSET(D$113,MATCH($N$1,$C$113:$C$114,0)-1,0)</f>
        <v>0.9</v>
      </c>
      <c r="E38" s="88"/>
      <c r="F38" s="88">
        <f ca="1">0.8*OFFSET(F$113,MATCH($N$1,$C$113:$C$114,0)-1,0)</f>
        <v>0.8</v>
      </c>
      <c r="G38" s="88">
        <f ca="1">-0.6*OFFSET(G$113,MATCH($N$1,$C$113:$C$114,0)-1,0)</f>
        <v>-0.6</v>
      </c>
      <c r="H38" s="88">
        <f ca="1">0.8*OFFSET(H$113,MATCH($N$1,$C$113:$C$114,0)-1,0)</f>
        <v>0.8</v>
      </c>
      <c r="I38" s="88">
        <f ca="1">1.2*OFFSET(I$113,MATCH($N$1,$C$113:$C$114,0)-1,0)</f>
        <v>1.2</v>
      </c>
      <c r="J38" s="88">
        <f ca="1">0.2*OFFSET(J$113,MATCH($N$1,$C$113:$C$114,0)-1,0)</f>
        <v>0.2</v>
      </c>
      <c r="K38" s="88">
        <f ca="1">0.1*OFFSET(K$113,MATCH($N$1,$C$113:$C$114,0)-1,0)</f>
        <v>0.1</v>
      </c>
      <c r="L38" s="88">
        <f ca="1">0.6*OFFSET(L$113,MATCH($N$1,$C$113:$C$114,0)-1,0)</f>
        <v>0.6</v>
      </c>
      <c r="M38" s="88">
        <f ca="1">-0.9*OFFSET(M$113,MATCH($N$1,$C$113:$C$114,0)-1,0)</f>
        <v>-0.9</v>
      </c>
      <c r="N38" s="88">
        <v>-0.9</v>
      </c>
      <c r="O38" s="84">
        <f t="shared" ca="1" si="0"/>
        <v>-2</v>
      </c>
      <c r="P38" s="84">
        <f t="shared" ca="1" si="1"/>
        <v>-5.5</v>
      </c>
    </row>
    <row r="39" spans="1:16" s="78" customFormat="1" ht="18" customHeight="1">
      <c r="A39" s="192"/>
      <c r="B39" s="85" t="s">
        <v>220</v>
      </c>
      <c r="C39" s="86"/>
      <c r="D39" s="86">
        <f ca="1">1.1*OFFSET(D$113,MATCH($N$1,$C$113:$C$114,0)-1,0)</f>
        <v>1.1000000000000001</v>
      </c>
      <c r="E39" s="86">
        <f ca="1">0.3*OFFSET(E$113,MATCH($N$1,$C$113:$C$114,0)-1,0)</f>
        <v>0.3</v>
      </c>
      <c r="F39" s="86">
        <f ca="1">0.3*OFFSET(F$113,MATCH($N$1,$C$113:$C$114,0)-1,0)</f>
        <v>0.3</v>
      </c>
      <c r="G39" s="86">
        <f ca="1">0.5*OFFSET(G$113,MATCH($N$1,$C$113:$C$114,0)-1,0)</f>
        <v>0.5</v>
      </c>
      <c r="H39" s="86">
        <f ca="1">0.4*OFFSET(H$113,MATCH($N$1,$C$113:$C$114,0)-1,0)</f>
        <v>0.4</v>
      </c>
      <c r="I39" s="86">
        <f ca="1">0.5*OFFSET(I$113,MATCH($N$1,$C$113:$C$114,0)-1,0)</f>
        <v>0.5</v>
      </c>
      <c r="J39" s="86">
        <f ca="1">0.4*OFFSET(J$113,MATCH($N$1,$C$113:$C$114,0)-1,0)</f>
        <v>0.4</v>
      </c>
      <c r="K39" s="86">
        <f ca="1">0.5*OFFSET(K$113,MATCH($N$1,$C$113:$C$114,0)-1,0)</f>
        <v>0.5</v>
      </c>
      <c r="L39" s="86">
        <f ca="1">0.9*OFFSET(L$113,MATCH($N$1,$C$113:$C$114,0)-1,0)</f>
        <v>0.9</v>
      </c>
      <c r="M39" s="86">
        <f ca="1">1*OFFSET(M$113,MATCH($N$1,$C$113:$C$114,0)-1,0)</f>
        <v>1</v>
      </c>
      <c r="N39" s="86"/>
      <c r="O39" s="84" t="str">
        <f t="shared" si="0"/>
        <v/>
      </c>
      <c r="P39" s="84" t="str">
        <f t="shared" si="1"/>
        <v/>
      </c>
    </row>
    <row r="40" spans="1:16" s="78" customFormat="1" ht="18" customHeight="1">
      <c r="A40" s="192"/>
      <c r="B40" s="85" t="s">
        <v>221</v>
      </c>
      <c r="C40" s="86"/>
      <c r="D40" s="86">
        <f ca="1">0.1*OFFSET(D$113,MATCH($N$1,$C$113:$C$114,0)-1,0)</f>
        <v>0.1</v>
      </c>
      <c r="E40" s="86"/>
      <c r="F40" s="86">
        <f ca="1">0.1*OFFSET(F$113,MATCH($N$1,$C$113:$C$114,0)-1,0)</f>
        <v>0.1</v>
      </c>
      <c r="G40" s="86">
        <f ca="1">0.1*OFFSET(G$113,MATCH($N$1,$C$113:$C$114,0)-1,0)</f>
        <v>0.1</v>
      </c>
      <c r="H40" s="86"/>
      <c r="I40" s="86"/>
      <c r="J40" s="86"/>
      <c r="K40" s="86">
        <f ca="1">0.1*OFFSET(K$113,MATCH($N$1,$C$113:$C$114,0)-1,0)</f>
        <v>0.1</v>
      </c>
      <c r="L40" s="86"/>
      <c r="M40" s="86"/>
      <c r="N40" s="86"/>
      <c r="O40" s="84" t="str">
        <f t="shared" si="0"/>
        <v/>
      </c>
      <c r="P40" s="84" t="str">
        <f t="shared" si="1"/>
        <v/>
      </c>
    </row>
    <row r="41" spans="1:16" s="78" customFormat="1" ht="18" customHeight="1">
      <c r="A41" s="192"/>
      <c r="B41" s="85" t="s">
        <v>222</v>
      </c>
      <c r="C41" s="86"/>
      <c r="D41" s="86">
        <f ca="1">0.1*OFFSET(D$113,MATCH($N$1,$C$113:$C$114,0)-1,0)</f>
        <v>0.1</v>
      </c>
      <c r="E41" s="86"/>
      <c r="F41" s="86">
        <f ca="1">0.1*OFFSET(F$113,MATCH($N$1,$C$113:$C$114,0)-1,0)</f>
        <v>0.1</v>
      </c>
      <c r="G41" s="86"/>
      <c r="H41" s="86"/>
      <c r="I41" s="86"/>
      <c r="J41" s="86"/>
      <c r="K41" s="86">
        <f ca="1">0.2*OFFSET(K$113,MATCH($N$1,$C$113:$C$114,0)-1,0)</f>
        <v>0.2</v>
      </c>
      <c r="L41" s="86"/>
      <c r="M41" s="86"/>
      <c r="N41" s="86"/>
      <c r="O41" s="84" t="str">
        <f t="shared" si="0"/>
        <v/>
      </c>
      <c r="P41" s="84" t="str">
        <f t="shared" si="1"/>
        <v/>
      </c>
    </row>
    <row r="42" spans="1:16" s="78" customFormat="1" ht="18" customHeight="1" thickBot="1">
      <c r="A42" s="193"/>
      <c r="B42" s="89" t="s">
        <v>223</v>
      </c>
      <c r="C42" s="90"/>
      <c r="D42" s="90">
        <f ca="1">-0.4*OFFSET(D$113,MATCH($N$1,$C$113:$C$114,0)-1,0)</f>
        <v>-0.4</v>
      </c>
      <c r="E42" s="90">
        <f ca="1">-0.3*OFFSET(E$113,MATCH($N$1,$C$113:$C$114,0)-1,0)</f>
        <v>-0.3</v>
      </c>
      <c r="F42" s="90">
        <f ca="1">0.4*OFFSET(F$113,MATCH($N$1,$C$113:$C$114,0)-1,0)</f>
        <v>0.4</v>
      </c>
      <c r="G42" s="90">
        <f ca="1">-1.2*OFFSET(G$113,MATCH($N$1,$C$113:$C$114,0)-1,0)</f>
        <v>-1.2</v>
      </c>
      <c r="H42" s="90">
        <f ca="1">0.3*OFFSET(H$113,MATCH($N$1,$C$113:$C$114,0)-1,0)</f>
        <v>0.3</v>
      </c>
      <c r="I42" s="90">
        <f ca="1">0.6*OFFSET(I$113,MATCH($N$1,$C$113:$C$114,0)-1,0)</f>
        <v>0.6</v>
      </c>
      <c r="J42" s="90">
        <f ca="1">-0.2*OFFSET(J$113,MATCH($N$1,$C$113:$C$114,0)-1,0)</f>
        <v>-0.2</v>
      </c>
      <c r="K42" s="90">
        <f ca="1">-0.6*OFFSET(K$113,MATCH($N$1,$C$113:$C$114,0)-1,0)</f>
        <v>-0.6</v>
      </c>
      <c r="L42" s="90">
        <f ca="1">-0.3*OFFSET(L$113,MATCH($N$1,$C$113:$C$114,0)-1,0)</f>
        <v>-0.3</v>
      </c>
      <c r="M42" s="90">
        <f ca="1">-1.9*OFFSET(M$113,MATCH($N$1,$C$113:$C$114,0)-1,0)</f>
        <v>-1.9</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157</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Low activity under 10m</v>
      </c>
      <c r="C49" s="101"/>
      <c r="D49" s="101"/>
      <c r="E49" s="101"/>
      <c r="F49" s="101"/>
      <c r="G49" s="101"/>
      <c r="K49" s="101" t="str">
        <f>$B25&amp;CHAR(10)&amp;$A$1</f>
        <v>Operating profit per kW day at sea (£)
Low activity under 10m</v>
      </c>
    </row>
    <row r="50" spans="1:11" s="78" customFormat="1">
      <c r="A50" s="101" t="str">
        <f>$B23&amp;CHAR(10)&amp;$A$1</f>
        <v>Fishing income per kW day at sea (£)
Low activity under 10m</v>
      </c>
    </row>
    <row r="51" spans="1:11" s="78" customFormat="1">
      <c r="A51" s="101" t="str">
        <f>$B21&amp;CHAR(10)&amp;$A$1</f>
        <v>Average price per tonne landed (£)
Low activity under 10m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Low activity under 10m</v>
      </c>
      <c r="F63" s="101" t="str">
        <f>$B21&amp;CHAR(10)&amp;$A$1</f>
        <v>Average price per tonne landed (£)
Low activity under 10m</v>
      </c>
      <c r="K63" s="101" t="str">
        <f>"Average annual operating profit per vessel (£'000)"&amp;CHAR(10)&amp;$A$1</f>
        <v>Average annual operating profit per vessel (£'000)
Low activity under 10m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Low activity under 10m</v>
      </c>
      <c r="F77" s="101" t="str">
        <f>"Top 5 landed species by value in "&amp;A78&amp;CHAR(10)&amp;A1</f>
        <v>Top 5 landed species by value in 2021
Low activity under 10m</v>
      </c>
    </row>
    <row r="78" spans="1:11" s="101" customFormat="1">
      <c r="A78" s="101">
        <v>2021</v>
      </c>
      <c r="B78" s="101" t="s">
        <v>385</v>
      </c>
      <c r="C78" s="102">
        <v>0.33837897474653328</v>
      </c>
      <c r="D78" s="103">
        <v>3050596</v>
      </c>
      <c r="G78" s="101" t="s">
        <v>386</v>
      </c>
      <c r="H78" s="102">
        <v>0.34063506896164752</v>
      </c>
      <c r="I78" s="103">
        <v>12153634</v>
      </c>
      <c r="K78" s="101" t="s">
        <v>237</v>
      </c>
    </row>
    <row r="79" spans="1:11" s="101" customFormat="1">
      <c r="B79" s="101" t="s">
        <v>387</v>
      </c>
      <c r="C79" s="102">
        <v>8.2266743917985732E-2</v>
      </c>
      <c r="D79" s="103">
        <v>3689192</v>
      </c>
      <c r="G79" s="101" t="s">
        <v>388</v>
      </c>
      <c r="H79" s="102">
        <v>0.1709893310162173</v>
      </c>
      <c r="I79" s="103">
        <v>553960</v>
      </c>
    </row>
    <row r="80" spans="1:11" s="101" customFormat="1">
      <c r="B80" s="101" t="s">
        <v>389</v>
      </c>
      <c r="C80" s="102">
        <v>7.7783607271232347E-2</v>
      </c>
      <c r="D80" s="103">
        <v>12153634</v>
      </c>
      <c r="G80" s="101" t="s">
        <v>390</v>
      </c>
      <c r="H80" s="102">
        <v>0.12338264143601563</v>
      </c>
      <c r="I80" s="103">
        <v>3050596</v>
      </c>
    </row>
    <row r="81" spans="1:19" s="101" customFormat="1">
      <c r="B81" s="101" t="s">
        <v>391</v>
      </c>
      <c r="C81" s="102">
        <v>7.293234005286249E-2</v>
      </c>
      <c r="D81" s="103">
        <v>1692097</v>
      </c>
      <c r="G81" s="101" t="s">
        <v>392</v>
      </c>
      <c r="H81" s="102">
        <v>5.5175385100829893E-2</v>
      </c>
      <c r="I81" s="103">
        <v>1692097</v>
      </c>
    </row>
    <row r="82" spans="1:19" s="101" customFormat="1">
      <c r="B82" s="101" t="s">
        <v>393</v>
      </c>
      <c r="C82" s="102">
        <v>6.4877855233186663E-2</v>
      </c>
      <c r="D82" s="103">
        <v>553960</v>
      </c>
      <c r="G82" s="101" t="s">
        <v>394</v>
      </c>
      <c r="H82" s="102">
        <v>5.4405497743872461E-2</v>
      </c>
      <c r="I82" s="103">
        <v>3689192</v>
      </c>
    </row>
    <row r="83" spans="1:19" s="101" customFormat="1">
      <c r="B83" s="101" t="s">
        <v>395</v>
      </c>
      <c r="C83" s="102">
        <v>0.3637604787781995</v>
      </c>
      <c r="D83" s="103">
        <v>5920853</v>
      </c>
      <c r="G83" s="101" t="s">
        <v>396</v>
      </c>
      <c r="H83" s="102">
        <v>0.25541207574141722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166</v>
      </c>
      <c r="D93" s="107">
        <v>0.29343326881468784</v>
      </c>
      <c r="E93" s="107">
        <v>0.32215767914698457</v>
      </c>
      <c r="F93" s="107">
        <v>0.31564677347995279</v>
      </c>
      <c r="G93" s="107">
        <v>0.32259072794702032</v>
      </c>
      <c r="H93" s="107">
        <v>0.32019426765375614</v>
      </c>
      <c r="I93" s="107">
        <v>0.30351205995581892</v>
      </c>
      <c r="J93" s="107">
        <v>0.32845998120617587</v>
      </c>
      <c r="K93" s="107">
        <v>0.3400883445727394</v>
      </c>
      <c r="L93" s="107">
        <v>0.34063506896164752</v>
      </c>
      <c r="M93" s="107">
        <v>0.34461944004366751</v>
      </c>
      <c r="O93" s="101">
        <v>12153634</v>
      </c>
    </row>
    <row r="94" spans="1:19" s="101" customFormat="1" hidden="1">
      <c r="B94" s="101">
        <v>2</v>
      </c>
      <c r="C94" s="101" t="s">
        <v>177</v>
      </c>
      <c r="D94" s="107">
        <v>0.1330212865917296</v>
      </c>
      <c r="E94" s="107">
        <v>0.14574882516785168</v>
      </c>
      <c r="F94" s="107">
        <v>0.11659362208693586</v>
      </c>
      <c r="G94" s="107">
        <v>0.1206415554374779</v>
      </c>
      <c r="H94" s="107">
        <v>0.1304846220663142</v>
      </c>
      <c r="I94" s="107">
        <v>0.13512982286896116</v>
      </c>
      <c r="J94" s="107">
        <v>0.13053038659967903</v>
      </c>
      <c r="K94" s="107">
        <v>0.1686600637568974</v>
      </c>
      <c r="L94" s="107">
        <v>0.1709893310162173</v>
      </c>
      <c r="M94" s="107">
        <v>0.18443030556184237</v>
      </c>
      <c r="O94" s="101">
        <v>553960</v>
      </c>
    </row>
    <row r="95" spans="1:19" s="101" customFormat="1" hidden="1">
      <c r="B95" s="101">
        <v>3</v>
      </c>
      <c r="C95" s="101" t="s">
        <v>123</v>
      </c>
      <c r="D95" s="107">
        <v>9.0618405339778996E-2</v>
      </c>
      <c r="E95" s="107">
        <v>8.0525130189593175E-2</v>
      </c>
      <c r="F95" s="107">
        <v>0.11712173932620713</v>
      </c>
      <c r="G95" s="107">
        <v>9.8977030124931517E-2</v>
      </c>
      <c r="H95" s="107">
        <v>9.4895730351347157E-2</v>
      </c>
      <c r="I95" s="107">
        <v>0.12223883926264134</v>
      </c>
      <c r="J95" s="107">
        <v>0.11951612832030556</v>
      </c>
      <c r="K95" s="107">
        <v>0.10338205266007307</v>
      </c>
      <c r="L95" s="107">
        <v>0.12338264143601563</v>
      </c>
      <c r="M95" s="107">
        <v>0.1128745259919499</v>
      </c>
      <c r="O95" s="101">
        <v>3050596</v>
      </c>
    </row>
    <row r="96" spans="1:19" s="101" customFormat="1" hidden="1">
      <c r="B96" s="101">
        <v>4</v>
      </c>
      <c r="C96" s="101" t="s">
        <v>397</v>
      </c>
      <c r="D96" s="107">
        <v>6.7196007709255934E-2</v>
      </c>
      <c r="E96" s="107">
        <v>6.1977925029117517E-2</v>
      </c>
      <c r="F96" s="107"/>
      <c r="G96" s="107">
        <v>6.4081642829948007E-2</v>
      </c>
      <c r="H96" s="107"/>
      <c r="I96" s="107">
        <v>5.5254502516497869E-2</v>
      </c>
      <c r="J96" s="107">
        <v>6.0974734070673733E-2</v>
      </c>
      <c r="K96" s="107">
        <v>6.410354323666187E-2</v>
      </c>
      <c r="L96" s="107">
        <v>5.5175385100829893E-2</v>
      </c>
      <c r="M96" s="107">
        <v>5.5999478147369074E-2</v>
      </c>
      <c r="O96" s="101">
        <v>1692097</v>
      </c>
    </row>
    <row r="97" spans="1:15" s="101" customFormat="1" hidden="1">
      <c r="B97" s="101">
        <v>5</v>
      </c>
      <c r="C97" s="101" t="s">
        <v>174</v>
      </c>
      <c r="D97" s="107">
        <v>8.3152634855401447E-2</v>
      </c>
      <c r="E97" s="107">
        <v>6.9446667693875613E-2</v>
      </c>
      <c r="F97" s="107">
        <v>6.8175251827823274E-2</v>
      </c>
      <c r="G97" s="107"/>
      <c r="H97" s="107">
        <v>6.3295586812510671E-2</v>
      </c>
      <c r="I97" s="107">
        <v>6.6829999046513988E-2</v>
      </c>
      <c r="J97" s="107">
        <v>6.5367596698166955E-2</v>
      </c>
      <c r="K97" s="107">
        <v>5.6921859243230594E-2</v>
      </c>
      <c r="L97" s="107">
        <v>5.4405497743872461E-2</v>
      </c>
      <c r="M97" s="107">
        <v>4.566023302668424E-2</v>
      </c>
      <c r="O97" s="101">
        <v>3689192</v>
      </c>
    </row>
    <row r="98" spans="1:15" s="101" customFormat="1" hidden="1">
      <c r="B98" s="101">
        <v>6</v>
      </c>
      <c r="C98" s="101" t="s">
        <v>175</v>
      </c>
      <c r="D98" s="107"/>
      <c r="E98" s="107"/>
      <c r="F98" s="107">
        <v>5.9652013408147721E-2</v>
      </c>
      <c r="G98" s="107">
        <v>6.0859620538491574E-2</v>
      </c>
      <c r="H98" s="107">
        <v>5.6350083099255349E-2</v>
      </c>
      <c r="I98" s="107"/>
      <c r="J98" s="107"/>
      <c r="K98" s="107"/>
      <c r="L98" s="107"/>
      <c r="M98" s="107"/>
      <c r="O98" s="101">
        <v>11115023</v>
      </c>
    </row>
    <row r="99" spans="1:15" s="101" customFormat="1" hidden="1">
      <c r="B99" s="101">
        <v>7</v>
      </c>
      <c r="C99" s="101" t="s">
        <v>251</v>
      </c>
      <c r="D99" s="107">
        <v>0.33257839668914613</v>
      </c>
      <c r="E99" s="107">
        <v>0.32014377277257744</v>
      </c>
      <c r="F99" s="107">
        <v>0.32281059987093325</v>
      </c>
      <c r="G99" s="107">
        <v>0.33284942312213073</v>
      </c>
      <c r="H99" s="107">
        <v>0.3347797100168165</v>
      </c>
      <c r="I99" s="107">
        <v>0.31703477634956673</v>
      </c>
      <c r="J99" s="107">
        <v>0.29515117310499883</v>
      </c>
      <c r="K99" s="107">
        <v>0.26684413653039768</v>
      </c>
      <c r="L99" s="107">
        <v>0.25541207574141717</v>
      </c>
      <c r="M99" s="107">
        <v>0.25641601722848684</v>
      </c>
      <c r="O99" s="101">
        <v>5920853</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8</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337</v>
      </c>
      <c r="D121" s="52">
        <v>672</v>
      </c>
      <c r="E121" s="52">
        <v>337</v>
      </c>
      <c r="F121" s="53">
        <v>1346</v>
      </c>
    </row>
    <row r="122" spans="1:15" ht="18" customHeight="1">
      <c r="A122" s="186" t="s">
        <v>198</v>
      </c>
      <c r="B122" s="35" t="s">
        <v>199</v>
      </c>
      <c r="C122" s="54">
        <v>6.1521363258361816</v>
      </c>
      <c r="D122" s="54">
        <v>6.3773362636566162</v>
      </c>
      <c r="E122" s="54">
        <v>6.8676261901855469</v>
      </c>
      <c r="F122" s="55">
        <v>6.4437074661254883</v>
      </c>
    </row>
    <row r="123" spans="1:15" ht="18" customHeight="1">
      <c r="A123" s="187"/>
      <c r="B123" s="37" t="s">
        <v>190</v>
      </c>
      <c r="C123" s="56">
        <v>28.560831069946289</v>
      </c>
      <c r="D123" s="56">
        <v>35.313055038452148</v>
      </c>
      <c r="E123" s="56">
        <v>50.669754028320313</v>
      </c>
      <c r="F123" s="57">
        <v>37.339340209960938</v>
      </c>
    </row>
    <row r="124" spans="1:15" ht="18" customHeight="1">
      <c r="A124" s="187"/>
      <c r="B124" s="37" t="s">
        <v>191</v>
      </c>
      <c r="C124" s="56">
        <v>1.9072916507720947</v>
      </c>
      <c r="D124" s="56">
        <v>2.2736771106719971</v>
      </c>
      <c r="E124" s="56">
        <v>3.2218828201293945</v>
      </c>
      <c r="F124" s="57">
        <v>2.4120993614196777</v>
      </c>
    </row>
    <row r="125" spans="1:15" ht="18" customHeight="1">
      <c r="A125" s="187"/>
      <c r="B125" s="37" t="s">
        <v>192</v>
      </c>
      <c r="C125" s="56">
        <v>27.575698852539063</v>
      </c>
      <c r="D125" s="56">
        <v>31.888134956359863</v>
      </c>
      <c r="E125" s="56">
        <v>42.317562103271484</v>
      </c>
      <c r="F125" s="57">
        <v>33.332878112792969</v>
      </c>
    </row>
    <row r="126" spans="1:15" ht="18" customHeight="1">
      <c r="A126" s="187"/>
      <c r="B126" s="37" t="s">
        <v>193</v>
      </c>
      <c r="C126" s="33">
        <v>1.4295282363891602</v>
      </c>
      <c r="D126" s="33">
        <v>1.07020103931427</v>
      </c>
      <c r="E126" s="33">
        <v>0.67631274461746216</v>
      </c>
      <c r="F126" s="58">
        <v>1.0615478754043579</v>
      </c>
    </row>
    <row r="127" spans="1:15" ht="18" customHeight="1">
      <c r="A127" s="187"/>
      <c r="B127" s="37" t="s">
        <v>200</v>
      </c>
      <c r="C127" s="33">
        <f ca="1">5.07224169921875*OFFSET($L$113,MATCH($N$1,$C$113:$C$114,0)-1,0)</f>
        <v>5.0722416992187496</v>
      </c>
      <c r="D127" s="33">
        <f ca="1">3.95939721679688*OFFSET($L$113,MATCH($N$1,$C$113:$C$114,0)-1,0)</f>
        <v>3.9593972167968801</v>
      </c>
      <c r="E127" s="33">
        <f ca="1">2.16295483398437*OFFSET($L$113,MATCH($N$1,$C$113:$C$114,0)-1,0)</f>
        <v>2.1629548339843701</v>
      </c>
      <c r="F127" s="58">
        <f ca="1">3.78824365234375*OFFSET($L$113,MATCH($N$1,$C$113:$C$114,0)-1,0)</f>
        <v>3.7882436523437502</v>
      </c>
    </row>
    <row r="128" spans="1:15" ht="18" customHeight="1">
      <c r="A128" s="187"/>
      <c r="B128" s="37" t="s">
        <v>195</v>
      </c>
      <c r="C128" s="56">
        <v>10.023738861083984</v>
      </c>
      <c r="D128" s="56">
        <v>19.650297164916992</v>
      </c>
      <c r="E128" s="56">
        <v>19.887239456176758</v>
      </c>
      <c r="F128" s="57">
        <v>17.299406051635742</v>
      </c>
    </row>
    <row r="129" spans="1:15" ht="18" customHeight="1">
      <c r="A129" s="187"/>
      <c r="B129" s="37" t="s">
        <v>201</v>
      </c>
      <c r="C129" s="56">
        <v>27.311573028564453</v>
      </c>
      <c r="D129" s="56">
        <v>27.828868865966797</v>
      </c>
      <c r="E129" s="56">
        <v>27.878337860107422</v>
      </c>
      <c r="F129" s="57">
        <v>27.711738586425781</v>
      </c>
    </row>
    <row r="130" spans="1:15" ht="18" customHeight="1">
      <c r="A130" s="187"/>
      <c r="B130" s="37" t="s">
        <v>202</v>
      </c>
      <c r="C130" s="59">
        <v>0.14261427521705627</v>
      </c>
      <c r="D130" s="59">
        <v>5.4462333588775058E-2</v>
      </c>
      <c r="E130" s="59">
        <v>3.4007370471954346E-2</v>
      </c>
      <c r="F130" s="60">
        <v>6.1363257467746735E-2</v>
      </c>
    </row>
    <row r="131" spans="1:15" ht="18" customHeight="1">
      <c r="A131" s="188"/>
      <c r="B131" s="39" t="s">
        <v>203</v>
      </c>
      <c r="C131" s="40">
        <f ca="1">3548.19273247145*OFFSET($L$113,MATCH($N$1,$C$113:$C$114,0)-1,0)</f>
        <v>3548.1927324714502</v>
      </c>
      <c r="D131" s="40">
        <f ca="1">3699.67610883078*OFFSET($L$113,MATCH($N$1,$C$113:$C$114,0)-1,0)</f>
        <v>3699.6761088307799</v>
      </c>
      <c r="E131" s="40">
        <f ca="1">3198.15773279238*OFFSET($L$113,MATCH($N$1,$C$113:$C$114,0)-1,0)</f>
        <v>3198.1577327923801</v>
      </c>
      <c r="F131" s="61">
        <f ca="1">3569*OFFSET($L$113,MATCH($N$1,$C$113:$C$114,0)-1,0)</f>
        <v>3569</v>
      </c>
    </row>
    <row r="132" spans="1:15" ht="18" customHeight="1">
      <c r="A132" s="198" t="s">
        <v>204</v>
      </c>
      <c r="B132" s="35" t="s">
        <v>205</v>
      </c>
      <c r="C132" s="62">
        <v>5.3616060662215181</v>
      </c>
      <c r="D132" s="62">
        <v>1.8923737229585429</v>
      </c>
      <c r="E132" s="62">
        <v>0.68666787555946995</v>
      </c>
      <c r="F132" s="63">
        <v>1.7935237248816298</v>
      </c>
    </row>
    <row r="133" spans="1:15" ht="18" customHeight="1">
      <c r="A133" s="199"/>
      <c r="B133" s="37" t="s">
        <v>206</v>
      </c>
      <c r="C133" s="59">
        <f ca="1">19.024011678542*OFFSET($L$113,MATCH($N$1,$C$113:$C$114,0)-1,0)</f>
        <v>19.024011678541999</v>
      </c>
      <c r="D133" s="59">
        <f ca="1">7.00116985180888*OFFSET($L$113,MATCH($N$1,$C$113:$C$114,0)-1,0)</f>
        <v>7.0011698518088803</v>
      </c>
      <c r="E133" s="59">
        <f ca="1">2.19607217608063*OFFSET($L$113,MATCH($N$1,$C$113:$C$114,0)-1,0)</f>
        <v>2.1960721760806301</v>
      </c>
      <c r="F133" s="60">
        <f ca="1">6.40037536085945*OFFSET($L$113,MATCH($N$1,$C$113:$C$114,0)-1,0)</f>
        <v>6.4003753608594502</v>
      </c>
    </row>
    <row r="134" spans="1:15" ht="18" customHeight="1">
      <c r="A134" s="199"/>
      <c r="B134" s="37" t="s">
        <v>153</v>
      </c>
      <c r="C134" s="59">
        <f ca="1">20.8420076351422*OFFSET($L$113,MATCH($N$1,$C$113:$C$114,0)-1,0)</f>
        <v>20.842007635142199</v>
      </c>
      <c r="D134" s="59">
        <f ca="1">8.74512939033717*OFFSET($L$113,MATCH($N$1,$C$113:$C$114,0)-1,0)</f>
        <v>8.7451293903371692</v>
      </c>
      <c r="E134" s="59">
        <f ca="1">3.29442554885767*OFFSET($L$113,MATCH($N$1,$C$113:$C$114,0)-1,0)</f>
        <v>3.2944255488576699</v>
      </c>
      <c r="F134" s="60">
        <f ca="1">7.89495701654114*OFFSET($L$113,MATCH($N$1,$C$113:$C$114,0)-1,0)</f>
        <v>7.8949570165411398</v>
      </c>
    </row>
    <row r="135" spans="1:15" ht="18" customHeight="1">
      <c r="A135" s="200"/>
      <c r="B135" s="39" t="s">
        <v>154</v>
      </c>
      <c r="C135" s="64">
        <f ca="1">-1.81799595660012*OFFSET($L$113,MATCH($N$1,$C$113:$C$114,0)-1,0)</f>
        <v>-1.81799595660012</v>
      </c>
      <c r="D135" s="64">
        <f ca="1">-1.74395953852829*OFFSET($L$113,MATCH($N$1,$C$113:$C$114,0)-1,0)</f>
        <v>-1.74395953852829</v>
      </c>
      <c r="E135" s="64">
        <f ca="1">-1.09835337277703*OFFSET($L$113,MATCH($N$1,$C$113:$C$114,0)-1,0)</f>
        <v>-1.09835337277703</v>
      </c>
      <c r="F135" s="65">
        <f ca="1">-1.49458165568169*OFFSET($L$113,MATCH($N$1,$C$113:$C$114,0)-1,0)</f>
        <v>-1.49458165568169</v>
      </c>
    </row>
    <row r="136" spans="1:15" ht="18" customHeight="1">
      <c r="A136" s="201" t="s">
        <v>260</v>
      </c>
      <c r="B136" s="37" t="s">
        <v>261</v>
      </c>
      <c r="C136" s="66">
        <f ca="1">0.18694450378418*OFFSET($L$113,MATCH($N$1,$C$113:$C$114,0)-1,0)</f>
        <v>0.18694450378418001</v>
      </c>
      <c r="D136" s="66">
        <f ca="1">0.447301406860352*OFFSET($L$113,MATCH($N$1,$C$113:$C$114,0)-1,0)</f>
        <v>0.44730140686035202</v>
      </c>
      <c r="E136" s="66">
        <f ca="1">0.787361267089844*OFFSET($L$113,MATCH($N$1,$C$113:$C$114,0)-1,0)</f>
        <v>0.787361267089844</v>
      </c>
      <c r="F136" s="67">
        <f ca="1">0.467256744384766*OFFSET($L$113,MATCH($N$1,$C$113:$C$114,0)-1,0)</f>
        <v>0.467256744384766</v>
      </c>
    </row>
    <row r="137" spans="1:15" ht="18" customHeight="1">
      <c r="A137" s="202"/>
      <c r="B137" s="37" t="s">
        <v>262</v>
      </c>
      <c r="C137" s="31">
        <v>388.30860965696047</v>
      </c>
      <c r="D137" s="31">
        <v>930.5580361295797</v>
      </c>
      <c r="E137" s="31">
        <v>1643.442007345293</v>
      </c>
      <c r="F137" s="68">
        <v>973.28008915304611</v>
      </c>
    </row>
    <row r="138" spans="1:15" ht="18" customHeight="1">
      <c r="A138" s="202"/>
      <c r="B138" s="37" t="s">
        <v>263</v>
      </c>
      <c r="C138" s="31">
        <v>38.738899230957031</v>
      </c>
      <c r="D138" s="31">
        <v>47.355926901246463</v>
      </c>
      <c r="E138" s="31">
        <v>82.638015747070313</v>
      </c>
      <c r="F138" s="68">
        <v>56.260898590087891</v>
      </c>
    </row>
    <row r="139" spans="1:15" ht="18" customHeight="1">
      <c r="A139" s="202"/>
      <c r="B139" s="37" t="s">
        <v>264</v>
      </c>
      <c r="C139" s="31">
        <f ca="1">18.6501769823604*OFFSET($L$113,MATCH($N$1,$C$113:$C$114,0)-1,0)</f>
        <v>18.650176982360399</v>
      </c>
      <c r="D139" s="31">
        <f ca="1">22.7630861307761*OFFSET($L$113,MATCH($N$1,$C$113:$C$114,0)-1,0)</f>
        <v>22.763086130776099</v>
      </c>
      <c r="E139" s="31">
        <f ca="1">39.5912800680488*OFFSET($L$113,MATCH($N$1,$C$113:$C$114,0)-1,0)</f>
        <v>39.591280068048803</v>
      </c>
      <c r="F139" s="68">
        <f ca="1">27.009987683397*OFFSET($L$113,MATCH($N$1,$C$113:$C$114,0)-1,0)</f>
        <v>27.009987683397</v>
      </c>
      <c r="I139" s="43"/>
      <c r="L139" s="69" t="str">
        <f>C120</f>
        <v>Most
profitable
quartile</v>
      </c>
      <c r="M139" s="69" t="str">
        <f>D120</f>
        <v>Middle
two quartiles</v>
      </c>
      <c r="N139" s="69" t="str">
        <f>E120</f>
        <v>Least
profitable
quartile</v>
      </c>
      <c r="O139" s="69"/>
    </row>
    <row r="140" spans="1:15" ht="18" customHeight="1">
      <c r="A140" s="202"/>
      <c r="B140" s="37" t="s">
        <v>265</v>
      </c>
      <c r="C140" s="31">
        <f ca="1">130.773565030364*OFFSET($L$113,MATCH($N$1,$C$113:$C$114,0)-1,0)</f>
        <v>130.77356503036401</v>
      </c>
      <c r="D140" s="31">
        <f ca="1">417.960168630521*OFFSET($L$113,MATCH($N$1,$C$113:$C$114,0)-1,0)</f>
        <v>417.96016863052103</v>
      </c>
      <c r="E140" s="31">
        <f ca="1">1164.1969981435*OFFSET($L$113,MATCH($N$1,$C$113:$C$114,0)-1,0)</f>
        <v>1164.1969981435</v>
      </c>
      <c r="F140" s="68">
        <f ca="1">440.165493437384*OFFSET($L$113,MATCH($N$1,$C$113:$C$114,0)-1,0)</f>
        <v>440.16549343738399</v>
      </c>
      <c r="I140" s="43"/>
      <c r="K140" s="69" t="s">
        <v>266</v>
      </c>
      <c r="L140" s="70">
        <f t="shared" ref="L140:M142" ca="1" si="2">C141</f>
        <v>7.1245576171874996</v>
      </c>
      <c r="M140" s="70">
        <f t="shared" ca="1" si="2"/>
        <v>5.2549143066406296</v>
      </c>
      <c r="N140" s="70">
        <f ca="1">E141</f>
        <v>2.8706748046874999</v>
      </c>
      <c r="O140" s="70"/>
    </row>
    <row r="141" spans="1:15" ht="18" customHeight="1">
      <c r="A141" s="179" t="s">
        <v>267</v>
      </c>
      <c r="B141" s="35" t="s">
        <v>268</v>
      </c>
      <c r="C141" s="71">
        <f ca="1">7.1245576171875*OFFSET($L$113,MATCH($N$1,$C$113:$C$114,0)-1,0)</f>
        <v>7.1245576171874996</v>
      </c>
      <c r="D141" s="71">
        <f ca="1">5.25491430664063*OFFSET($L$113,MATCH($N$1,$C$113:$C$114,0)-1,0)</f>
        <v>5.2549143066406296</v>
      </c>
      <c r="E141" s="71">
        <f ca="1">2.8706748046875*OFFSET($L$113,MATCH($N$1,$C$113:$C$114,0)-1,0)</f>
        <v>2.8706748046874999</v>
      </c>
      <c r="F141" s="72">
        <f ca="1">5.12607421875*OFFSET($L$113,MATCH($N$1,$C$113:$C$114,0)-1,0)</f>
        <v>5.1260742187500004</v>
      </c>
      <c r="I141" s="43"/>
      <c r="K141" s="69" t="s">
        <v>269</v>
      </c>
      <c r="L141" s="70">
        <f t="shared" ca="1" si="2"/>
        <v>7.6092773437499996</v>
      </c>
      <c r="M141" s="70">
        <f t="shared" ca="1" si="2"/>
        <v>6.2411821289062503</v>
      </c>
      <c r="N141" s="70">
        <f ca="1">E142</f>
        <v>3.9524648437500001</v>
      </c>
      <c r="O141" s="70"/>
    </row>
    <row r="142" spans="1:15" ht="18" customHeight="1">
      <c r="A142" s="180"/>
      <c r="B142" s="37" t="s">
        <v>270</v>
      </c>
      <c r="C142" s="31">
        <f ca="1">7.60927734375*OFFSET($L$113,MATCH($N$1,$C$113:$C$114,0)-1,0)</f>
        <v>7.6092773437499996</v>
      </c>
      <c r="D142" s="31">
        <f ca="1">6.24118212890625*OFFSET($L$113,MATCH($N$1,$C$113:$C$114,0)-1,0)</f>
        <v>6.2411821289062503</v>
      </c>
      <c r="E142" s="31">
        <f ca="1">3.95246484375*OFFSET($L$113,MATCH($N$1,$C$113:$C$114,0)-1,0)</f>
        <v>3.9524648437500001</v>
      </c>
      <c r="F142" s="68">
        <f ca="1">6.0106845703125*OFFSET($L$113,MATCH($N$1,$C$113:$C$114,0)-1,0)</f>
        <v>6.0106845703124998</v>
      </c>
      <c r="I142" s="43"/>
      <c r="K142" s="69" t="s">
        <v>271</v>
      </c>
      <c r="L142" s="70">
        <f t="shared" ca="1" si="2"/>
        <v>-0.48471972656250001</v>
      </c>
      <c r="M142" s="70">
        <f t="shared" ca="1" si="2"/>
        <v>-0.98626782226562504</v>
      </c>
      <c r="N142" s="70">
        <f ca="1">E143</f>
        <v>-1.0817900390624999</v>
      </c>
      <c r="O142" s="70"/>
    </row>
    <row r="143" spans="1:15" ht="18" customHeight="1">
      <c r="A143" s="181"/>
      <c r="B143" s="39" t="s">
        <v>272</v>
      </c>
      <c r="C143" s="40">
        <f ca="1">-0.4847197265625*OFFSET($L$113,MATCH($N$1,$C$113:$C$114,0)-1,0)</f>
        <v>-0.48471972656250001</v>
      </c>
      <c r="D143" s="40">
        <f ca="1">-0.986267822265625*OFFSET($L$113,MATCH($N$1,$C$113:$C$114,0)-1,0)</f>
        <v>-0.98626782226562504</v>
      </c>
      <c r="E143" s="40">
        <f ca="1">-1.0817900390625*OFFSET($L$113,MATCH($N$1,$C$113:$C$114,0)-1,0)</f>
        <v>-1.0817900390624999</v>
      </c>
      <c r="F143" s="61">
        <f ca="1">-0.884610534667969*OFFSET($L$113,MATCH($N$1,$C$113:$C$114,0)-1,0)</f>
        <v>-0.88461053466796902</v>
      </c>
      <c r="I143" s="43"/>
      <c r="K143" s="69" t="s">
        <v>273</v>
      </c>
      <c r="L143" s="73">
        <f ca="1">IFERROR(L141/L$140,"")</f>
        <v>1.0680350630322852</v>
      </c>
      <c r="M143" s="73">
        <f t="shared" ref="M143:N144" ca="1" si="3">IFERROR(M141/M$140,"")</f>
        <v>1.1876848535891966</v>
      </c>
      <c r="N143" s="73">
        <f t="shared" ca="1" si="3"/>
        <v>1.37684172282282</v>
      </c>
      <c r="O143" s="73"/>
    </row>
    <row r="144" spans="1:15" ht="18" customHeight="1">
      <c r="I144" s="43"/>
      <c r="K144" s="69" t="s">
        <v>274</v>
      </c>
      <c r="L144" s="73">
        <f ca="1">IFERROR(L142/L$140,"")</f>
        <v>-6.803506303228532E-2</v>
      </c>
      <c r="M144" s="73">
        <f t="shared" ca="1" si="3"/>
        <v>-0.18768485358919734</v>
      </c>
      <c r="N144" s="73">
        <f t="shared" ca="1" si="3"/>
        <v>-0.37684172282282002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10</v>
      </c>
      <c r="H162" s="74"/>
      <c r="I162" s="74" t="s">
        <v>255</v>
      </c>
      <c r="J162" s="74" t="s">
        <v>276</v>
      </c>
      <c r="K162" s="74" t="s">
        <v>257</v>
      </c>
      <c r="L162" s="48" t="s">
        <v>277</v>
      </c>
      <c r="R162" s="21"/>
      <c r="S162" s="21"/>
    </row>
    <row r="163" spans="1:19" s="43" customFormat="1">
      <c r="A163" s="44">
        <v>1</v>
      </c>
      <c r="B163" s="48" t="s">
        <v>123</v>
      </c>
      <c r="C163" s="48">
        <v>0.37711409407452179</v>
      </c>
      <c r="D163" s="48">
        <v>0.43706463800638945</v>
      </c>
      <c r="E163" s="48">
        <v>0.18691683858551986</v>
      </c>
      <c r="F163" s="44">
        <v>3050596</v>
      </c>
      <c r="G163" s="44">
        <v>1</v>
      </c>
      <c r="H163" s="48" t="s">
        <v>166</v>
      </c>
      <c r="I163" s="48">
        <v>0.3722848076800413</v>
      </c>
      <c r="J163" s="48">
        <v>0.37449816946840248</v>
      </c>
      <c r="K163" s="48">
        <v>0.27917825870501067</v>
      </c>
      <c r="L163" s="44">
        <v>12153634</v>
      </c>
      <c r="R163" s="21"/>
      <c r="S163" s="21"/>
    </row>
    <row r="164" spans="1:19" s="43" customFormat="1">
      <c r="A164" s="44">
        <v>2</v>
      </c>
      <c r="B164" s="48" t="s">
        <v>174</v>
      </c>
      <c r="C164" s="48">
        <v>6.1993020468684407E-2</v>
      </c>
      <c r="D164" s="48">
        <v>0.11132731027524775</v>
      </c>
      <c r="E164" s="48">
        <v>9.5013362973783863E-2</v>
      </c>
      <c r="F164" s="44">
        <v>3689192</v>
      </c>
      <c r="G164" s="44">
        <v>2</v>
      </c>
      <c r="H164" s="48" t="s">
        <v>177</v>
      </c>
      <c r="I164" s="48">
        <v>0.20050196235445647</v>
      </c>
      <c r="J164" s="48">
        <v>0.18119553955898368</v>
      </c>
      <c r="K164" s="48">
        <v>0.13050711741768056</v>
      </c>
      <c r="L164" s="44">
        <v>553960</v>
      </c>
      <c r="N164" s="43" t="s">
        <v>278</v>
      </c>
      <c r="R164" s="21"/>
      <c r="S164" s="21"/>
    </row>
    <row r="165" spans="1:19" s="43" customFormat="1">
      <c r="A165" s="44">
        <v>3</v>
      </c>
      <c r="B165" s="48" t="s">
        <v>397</v>
      </c>
      <c r="C165" s="48">
        <v>0</v>
      </c>
      <c r="D165" s="48">
        <v>0.10880032359754872</v>
      </c>
      <c r="E165" s="48">
        <v>7.44585518513175E-2</v>
      </c>
      <c r="F165" s="44">
        <v>1692097</v>
      </c>
      <c r="G165" s="44">
        <v>3</v>
      </c>
      <c r="H165" s="48" t="s">
        <v>123</v>
      </c>
      <c r="I165" s="48">
        <v>0.12301301524772852</v>
      </c>
      <c r="J165" s="48">
        <v>0.14666665396156836</v>
      </c>
      <c r="K165" s="48">
        <v>9.2665263983095714E-2</v>
      </c>
      <c r="L165" s="44">
        <v>3050596</v>
      </c>
      <c r="N165" s="43" t="s">
        <v>279</v>
      </c>
      <c r="R165" s="21"/>
      <c r="S165" s="21"/>
    </row>
    <row r="166" spans="1:19" s="43" customFormat="1">
      <c r="A166" s="44">
        <v>4</v>
      </c>
      <c r="B166" s="48" t="s">
        <v>166</v>
      </c>
      <c r="C166" s="48">
        <v>7.9734552420664434E-2</v>
      </c>
      <c r="D166" s="48">
        <v>9.6336726384133042E-2</v>
      </c>
      <c r="E166" s="48">
        <v>6.8415572082230494E-2</v>
      </c>
      <c r="F166" s="44">
        <v>12153634</v>
      </c>
      <c r="G166" s="44">
        <v>4</v>
      </c>
      <c r="H166" s="48" t="s">
        <v>397</v>
      </c>
      <c r="I166" s="48">
        <v>0</v>
      </c>
      <c r="J166" s="48">
        <v>7.2865014429415509E-2</v>
      </c>
      <c r="K166" s="48">
        <v>0</v>
      </c>
      <c r="L166" s="44">
        <v>1692097</v>
      </c>
      <c r="R166" s="21"/>
      <c r="S166" s="21"/>
    </row>
    <row r="167" spans="1:19" s="43" customFormat="1">
      <c r="A167" s="44">
        <v>5</v>
      </c>
      <c r="B167" s="48" t="s">
        <v>177</v>
      </c>
      <c r="C167" s="48">
        <v>7.8983127916307197E-2</v>
      </c>
      <c r="D167" s="48">
        <v>7.5446934043570807E-2</v>
      </c>
      <c r="E167" s="48">
        <v>0</v>
      </c>
      <c r="F167" s="44">
        <v>553960</v>
      </c>
      <c r="G167" s="44">
        <v>5</v>
      </c>
      <c r="H167" s="48" t="s">
        <v>175</v>
      </c>
      <c r="I167" s="48">
        <v>0</v>
      </c>
      <c r="J167" s="48">
        <v>6.6857973684391475E-2</v>
      </c>
      <c r="K167" s="48">
        <v>8.8459646190339955E-2</v>
      </c>
      <c r="L167" s="44">
        <v>11115023</v>
      </c>
      <c r="R167" s="21"/>
      <c r="S167" s="21"/>
    </row>
    <row r="168" spans="1:19" s="43" customFormat="1">
      <c r="A168" s="44">
        <v>6</v>
      </c>
      <c r="B168" s="48" t="s">
        <v>250</v>
      </c>
      <c r="C168" s="48">
        <v>0</v>
      </c>
      <c r="D168" s="48">
        <v>0</v>
      </c>
      <c r="E168" s="48">
        <v>0.11164877572464509</v>
      </c>
      <c r="F168" s="44">
        <v>2480382</v>
      </c>
      <c r="G168" s="44">
        <v>6</v>
      </c>
      <c r="H168" s="48" t="s">
        <v>159</v>
      </c>
      <c r="I168" s="48">
        <v>0</v>
      </c>
      <c r="J168" s="48">
        <v>0</v>
      </c>
      <c r="K168" s="48">
        <v>6.8736323272007224E-2</v>
      </c>
      <c r="L168" s="44">
        <v>7434864</v>
      </c>
      <c r="R168" s="21"/>
      <c r="S168" s="21"/>
    </row>
    <row r="169" spans="1:19" s="43" customFormat="1">
      <c r="A169" s="44">
        <v>7</v>
      </c>
      <c r="B169" s="48" t="s">
        <v>280</v>
      </c>
      <c r="C169" s="48">
        <v>0.11749015758693279</v>
      </c>
      <c r="D169" s="48">
        <v>0</v>
      </c>
      <c r="E169" s="48">
        <v>0</v>
      </c>
      <c r="F169" s="44">
        <v>8497745</v>
      </c>
      <c r="G169" s="44">
        <v>7</v>
      </c>
      <c r="H169" s="48" t="s">
        <v>174</v>
      </c>
      <c r="I169" s="48">
        <v>4.890245807278118E-2</v>
      </c>
      <c r="J169" s="48">
        <v>0</v>
      </c>
      <c r="K169" s="48">
        <v>0</v>
      </c>
      <c r="L169" s="44">
        <v>3689192</v>
      </c>
      <c r="R169" s="21"/>
      <c r="S169" s="21"/>
    </row>
    <row r="170" spans="1:19" s="43" customFormat="1">
      <c r="A170" s="44">
        <v>8</v>
      </c>
      <c r="B170" s="48" t="s">
        <v>251</v>
      </c>
      <c r="C170" s="48">
        <v>0.28468504753288937</v>
      </c>
      <c r="D170" s="48">
        <v>0.17102406769311018</v>
      </c>
      <c r="E170" s="48">
        <v>0.46354689878250321</v>
      </c>
      <c r="F170" s="44">
        <v>5920853</v>
      </c>
      <c r="G170" s="44">
        <v>8</v>
      </c>
      <c r="H170" s="48" t="s">
        <v>168</v>
      </c>
      <c r="I170" s="48">
        <v>4.3871628896370626E-2</v>
      </c>
      <c r="J170" s="48">
        <v>0</v>
      </c>
      <c r="K170" s="48">
        <v>0</v>
      </c>
      <c r="L170" s="44">
        <v>14393110</v>
      </c>
      <c r="R170" s="21"/>
      <c r="S170" s="21"/>
    </row>
    <row r="171" spans="1:19" s="43" customFormat="1">
      <c r="A171" s="44">
        <v>9</v>
      </c>
      <c r="B171" s="48"/>
      <c r="C171" s="48">
        <v>0</v>
      </c>
      <c r="D171" s="48">
        <v>0</v>
      </c>
      <c r="E171" s="48">
        <v>0</v>
      </c>
      <c r="F171" s="44"/>
      <c r="G171" s="44">
        <v>9</v>
      </c>
      <c r="H171" s="48" t="s">
        <v>251</v>
      </c>
      <c r="I171" s="48">
        <v>0.21142612774862191</v>
      </c>
      <c r="J171" s="48">
        <v>0.15791664889723844</v>
      </c>
      <c r="K171" s="48">
        <v>0.34045339043186595</v>
      </c>
      <c r="L171" s="44">
        <v>5920853</v>
      </c>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B1F82286-A6AB-4982-A3B9-1FB808C2B57D}">
      <formula1>$C$113:$C$114</formula1>
    </dataValidation>
  </dataValidations>
  <hyperlinks>
    <hyperlink ref="O1:P1" location="Home_page" display="Back to home page" xr:uid="{272191D7-7D6C-44E0-92DB-6ED726507FBC}"/>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45F77C57-DBB0-4C5A-BCDE-31A43D612E76}">
          <x14:colorSeries rgb="FF323232"/>
          <x14:colorNegative rgb="FFD00000"/>
          <x14:colorAxis rgb="FF000000"/>
          <x14:colorMarkers rgb="FFD00000"/>
          <x14:colorFirst rgb="FFD00000"/>
          <x14:colorLast rgb="FFD00000"/>
          <x14:colorHigh rgb="FFD00000"/>
          <x14:colorLow rgb="FFD00000"/>
          <x14:sparklines>
            <x14:sparkline>
              <xm:f>'Low activity under 10m'!D3:N3</xm:f>
              <xm:sqref>C3</xm:sqref>
            </x14:sparkline>
            <x14:sparkline>
              <xm:f>'Low activity under 10m'!D4:N4</xm:f>
              <xm:sqref>C4</xm:sqref>
            </x14:sparkline>
            <x14:sparkline>
              <xm:f>'Low activity under 10m'!D5:N5</xm:f>
              <xm:sqref>C5</xm:sqref>
            </x14:sparkline>
            <x14:sparkline>
              <xm:f>'Low activity under 10m'!D6:N6</xm:f>
              <xm:sqref>C6</xm:sqref>
            </x14:sparkline>
            <x14:sparkline>
              <xm:f>'Low activity under 10m'!D7:N7</xm:f>
              <xm:sqref>C7</xm:sqref>
            </x14:sparkline>
            <x14:sparkline>
              <xm:f>'Low activity under 10m'!D8:N8</xm:f>
              <xm:sqref>C8</xm:sqref>
            </x14:sparkline>
            <x14:sparkline>
              <xm:f>'Low activity under 10m'!D9:N9</xm:f>
              <xm:sqref>C9</xm:sqref>
            </x14:sparkline>
            <x14:sparkline>
              <xm:f>'Low activity under 10m'!D10:N10</xm:f>
              <xm:sqref>C10</xm:sqref>
            </x14:sparkline>
            <x14:sparkline>
              <xm:f>'Low activity under 10m'!D11:N11</xm:f>
              <xm:sqref>C11</xm:sqref>
            </x14:sparkline>
            <x14:sparkline>
              <xm:f>'Low activity under 10m'!D12:N12</xm:f>
              <xm:sqref>C12</xm:sqref>
            </x14:sparkline>
            <x14:sparkline>
              <xm:f>'Low activity under 10m'!D13:N13</xm:f>
              <xm:sqref>C13</xm:sqref>
            </x14:sparkline>
            <x14:sparkline>
              <xm:f>'Low activity under 10m'!D14:N14</xm:f>
              <xm:sqref>C14</xm:sqref>
            </x14:sparkline>
            <x14:sparkline>
              <xm:f>'Low activity under 10m'!D15:N15</xm:f>
              <xm:sqref>C15</xm:sqref>
            </x14:sparkline>
            <x14:sparkline>
              <xm:f>'Low activity under 10m'!D16:N16</xm:f>
              <xm:sqref>C16</xm:sqref>
            </x14:sparkline>
            <x14:sparkline>
              <xm:f>'Low activity under 10m'!D17:N17</xm:f>
              <xm:sqref>C17</xm:sqref>
            </x14:sparkline>
            <x14:sparkline>
              <xm:f>'Low activity under 10m'!D18:N18</xm:f>
              <xm:sqref>C18</xm:sqref>
            </x14:sparkline>
            <x14:sparkline>
              <xm:f>'Low activity under 10m'!D19:N19</xm:f>
              <xm:sqref>C19</xm:sqref>
            </x14:sparkline>
            <x14:sparkline>
              <xm:f>'Low activity under 10m'!D20:N20</xm:f>
              <xm:sqref>C20</xm:sqref>
            </x14:sparkline>
            <x14:sparkline>
              <xm:f>'Low activity under 10m'!D21:N21</xm:f>
              <xm:sqref>C21</xm:sqref>
            </x14:sparkline>
            <x14:sparkline>
              <xm:f>'Low activity under 10m'!D22:N22</xm:f>
              <xm:sqref>C22</xm:sqref>
            </x14:sparkline>
            <x14:sparkline>
              <xm:f>'Low activity under 10m'!D23:N23</xm:f>
              <xm:sqref>C23</xm:sqref>
            </x14:sparkline>
            <x14:sparkline>
              <xm:f>'Low activity under 10m'!D24:N24</xm:f>
              <xm:sqref>C24</xm:sqref>
            </x14:sparkline>
            <x14:sparkline>
              <xm:f>'Low activity under 10m'!D25:N25</xm:f>
              <xm:sqref>C25</xm:sqref>
            </x14:sparkline>
            <x14:sparkline>
              <xm:f>'Low activity under 10m'!D26:N26</xm:f>
              <xm:sqref>C26</xm:sqref>
            </x14:sparkline>
            <x14:sparkline>
              <xm:f>'Low activity under 10m'!D27:N27</xm:f>
              <xm:sqref>C27</xm:sqref>
            </x14:sparkline>
            <x14:sparkline>
              <xm:f>'Low activity under 10m'!D28:N28</xm:f>
              <xm:sqref>C28</xm:sqref>
            </x14:sparkline>
            <x14:sparkline>
              <xm:f>'Low activity under 10m'!D29:N29</xm:f>
              <xm:sqref>C29</xm:sqref>
            </x14:sparkline>
            <x14:sparkline>
              <xm:f>'Low activity under 10m'!D30:N30</xm:f>
              <xm:sqref>C30</xm:sqref>
            </x14:sparkline>
            <x14:sparkline>
              <xm:f>'Low activity under 10m'!D31:N31</xm:f>
              <xm:sqref>C31</xm:sqref>
            </x14:sparkline>
            <x14:sparkline>
              <xm:f>'Low activity under 10m'!D32:N32</xm:f>
              <xm:sqref>C32</xm:sqref>
            </x14:sparkline>
            <x14:sparkline>
              <xm:f>'Low activity under 10m'!D33:N33</xm:f>
              <xm:sqref>C33</xm:sqref>
            </x14:sparkline>
            <x14:sparkline>
              <xm:f>'Low activity under 10m'!D34:N34</xm:f>
              <xm:sqref>C34</xm:sqref>
            </x14:sparkline>
            <x14:sparkline>
              <xm:f>'Low activity under 10m'!D35:N35</xm:f>
              <xm:sqref>C35</xm:sqref>
            </x14:sparkline>
            <x14:sparkline>
              <xm:f>'Low activity under 10m'!D36:N36</xm:f>
              <xm:sqref>C36</xm:sqref>
            </x14:sparkline>
            <x14:sparkline>
              <xm:f>'Low activity under 10m'!D37:N37</xm:f>
              <xm:sqref>C37</xm:sqref>
            </x14:sparkline>
            <x14:sparkline>
              <xm:f>'Low activity under 10m'!D38:N38</xm:f>
              <xm:sqref>C38</xm:sqref>
            </x14:sparkline>
            <x14:sparkline>
              <xm:f>'Low activity under 10m'!D39:N39</xm:f>
              <xm:sqref>C39</xm:sqref>
            </x14:sparkline>
            <x14:sparkline>
              <xm:f>'Low activity under 10m'!D40:N40</xm:f>
              <xm:sqref>C40</xm:sqref>
            </x14:sparkline>
            <x14:sparkline>
              <xm:f>'Low activity under 10m'!D41:N41</xm:f>
              <xm:sqref>C41</xm:sqref>
            </x14:sparkline>
            <x14:sparkline>
              <xm:f>'Low activity under 10m'!D42:N42</xm:f>
              <xm:sqref>C42</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A90A-A5AC-4C08-A860-4E8067A83408}">
  <sheetPr codeName="Feuil17">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19</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8</v>
      </c>
      <c r="E3" s="28">
        <v>11</v>
      </c>
      <c r="F3" s="28">
        <v>11</v>
      </c>
      <c r="G3" s="28">
        <v>10</v>
      </c>
      <c r="H3" s="28">
        <v>9</v>
      </c>
      <c r="I3" s="28">
        <v>9</v>
      </c>
      <c r="J3" s="28">
        <v>7</v>
      </c>
      <c r="K3" s="28">
        <v>7</v>
      </c>
      <c r="L3" s="28">
        <v>7</v>
      </c>
      <c r="M3" s="28">
        <v>5</v>
      </c>
      <c r="N3" s="28">
        <v>6</v>
      </c>
      <c r="O3" s="29">
        <f t="shared" ref="O3:O42" si="0">IF(N3=0,"",IFERROR(IF(AND(N3&gt;0,D3&lt;0),"na",IF(AND(N3&lt;0,D3&lt;0),-1,1)*(N3-D3)/D3),""))</f>
        <v>-0.25</v>
      </c>
      <c r="P3" s="29">
        <f t="shared" ref="P3:P42" si="1">IF(N3=0,"",IFERROR(IF(AND(N3&gt;0,J3&lt;0),"na",IF(AND(N3&lt;0,J3&lt;0),-1,1)*(N3-J3)/J3),""))</f>
        <v>-0.14285714285714285</v>
      </c>
    </row>
    <row r="4" spans="1:17" ht="18" customHeight="1">
      <c r="A4" s="185"/>
      <c r="B4" s="30" t="s">
        <v>190</v>
      </c>
      <c r="C4" s="31"/>
      <c r="D4" s="31">
        <v>11550</v>
      </c>
      <c r="E4" s="31">
        <v>16004</v>
      </c>
      <c r="F4" s="31">
        <v>16004</v>
      </c>
      <c r="G4" s="31">
        <v>14534</v>
      </c>
      <c r="H4" s="31">
        <v>13209</v>
      </c>
      <c r="I4" s="31">
        <v>13188</v>
      </c>
      <c r="J4" s="31">
        <v>10226</v>
      </c>
      <c r="K4" s="31">
        <v>10375</v>
      </c>
      <c r="L4" s="31">
        <v>10375</v>
      </c>
      <c r="M4" s="31">
        <v>7412</v>
      </c>
      <c r="N4" s="31">
        <v>8904</v>
      </c>
      <c r="O4" s="29">
        <f t="shared" si="0"/>
        <v>-0.2290909090909091</v>
      </c>
      <c r="P4" s="29">
        <f t="shared" si="1"/>
        <v>-0.1292783101897125</v>
      </c>
    </row>
    <row r="5" spans="1:17" ht="18" customHeight="1">
      <c r="A5" s="185"/>
      <c r="B5" s="30" t="s">
        <v>191</v>
      </c>
      <c r="C5" s="31"/>
      <c r="D5" s="31">
        <v>3619</v>
      </c>
      <c r="E5" s="31">
        <v>4932</v>
      </c>
      <c r="F5" s="31">
        <v>4932</v>
      </c>
      <c r="G5" s="31">
        <v>4542</v>
      </c>
      <c r="H5" s="31">
        <v>4230</v>
      </c>
      <c r="I5" s="31">
        <v>4413</v>
      </c>
      <c r="J5" s="31">
        <v>3495</v>
      </c>
      <c r="K5" s="31">
        <v>3440</v>
      </c>
      <c r="L5" s="31">
        <v>3440</v>
      </c>
      <c r="M5" s="31">
        <v>2511</v>
      </c>
      <c r="N5" s="31">
        <v>2884</v>
      </c>
      <c r="O5" s="29">
        <f t="shared" si="0"/>
        <v>-0.20309477756286268</v>
      </c>
      <c r="P5" s="29">
        <f t="shared" si="1"/>
        <v>-0.1748211731044349</v>
      </c>
      <c r="Q5" s="32"/>
    </row>
    <row r="6" spans="1:17" ht="18" customHeight="1">
      <c r="A6" s="185"/>
      <c r="B6" s="30" t="s">
        <v>192</v>
      </c>
      <c r="C6" s="31"/>
      <c r="D6" s="31">
        <v>8089.27001953125</v>
      </c>
      <c r="E6" s="31">
        <v>11120.625</v>
      </c>
      <c r="F6" s="31">
        <v>11120.625</v>
      </c>
      <c r="G6" s="31">
        <v>10101.955078125</v>
      </c>
      <c r="H6" s="31">
        <v>9213.705078125</v>
      </c>
      <c r="I6" s="31">
        <v>9280.6396484375</v>
      </c>
      <c r="J6" s="31">
        <v>7223.61962890625</v>
      </c>
      <c r="K6" s="31">
        <v>7271.544921875</v>
      </c>
      <c r="L6" s="31">
        <v>7271.544921875</v>
      </c>
      <c r="M6" s="31">
        <v>5220.06005859375</v>
      </c>
      <c r="N6" s="31">
        <v>6212.3349609375</v>
      </c>
      <c r="O6" s="29">
        <f t="shared" si="0"/>
        <v>-0.23202774218958672</v>
      </c>
      <c r="P6" s="29">
        <f t="shared" si="1"/>
        <v>-0.13999694334983578</v>
      </c>
    </row>
    <row r="7" spans="1:17" ht="18" customHeight="1">
      <c r="A7" s="185"/>
      <c r="B7" s="30" t="s">
        <v>193</v>
      </c>
      <c r="C7" s="31"/>
      <c r="D7" s="31">
        <v>9349.4169921875</v>
      </c>
      <c r="E7" s="31">
        <v>11582.8134765625</v>
      </c>
      <c r="F7" s="31">
        <v>10948.8837890625</v>
      </c>
      <c r="G7" s="31">
        <v>10653.53125</v>
      </c>
      <c r="H7" s="31">
        <v>10781.927734375</v>
      </c>
      <c r="I7" s="31">
        <v>7210.41064453125</v>
      </c>
      <c r="J7" s="31">
        <v>5015.685546875</v>
      </c>
      <c r="K7" s="31">
        <v>4485.6904296875</v>
      </c>
      <c r="L7" s="31">
        <v>3065.156982421875</v>
      </c>
      <c r="M7" s="31">
        <v>2033.28955078125</v>
      </c>
      <c r="N7" s="31">
        <v>1649.247314453125</v>
      </c>
      <c r="O7" s="29">
        <f t="shared" si="0"/>
        <v>-0.82359891361875737</v>
      </c>
      <c r="P7" s="29">
        <f t="shared" si="1"/>
        <v>-0.67118207490485904</v>
      </c>
    </row>
    <row r="8" spans="1:17" ht="18" customHeight="1">
      <c r="A8" s="185"/>
      <c r="B8" s="30" t="s">
        <v>194</v>
      </c>
      <c r="C8" s="33"/>
      <c r="D8" s="33">
        <f ca="1">18.703254*OFFSET(D$113,MATCH($N$1,$C$113:$C$114,0)-1,0)</f>
        <v>18.703254000000001</v>
      </c>
      <c r="E8" s="33">
        <f ca="1">21.2917*OFFSET(E$113,MATCH($N$1,$C$113:$C$114,0)-1,0)</f>
        <v>21.291699999999999</v>
      </c>
      <c r="F8" s="33">
        <f ca="1">21.071054*OFFSET(F$113,MATCH($N$1,$C$113:$C$114,0)-1,0)</f>
        <v>21.071054</v>
      </c>
      <c r="G8" s="33">
        <f ca="1">22.353848*OFFSET(G$113,MATCH($N$1,$C$113:$C$114,0)-1,0)</f>
        <v>22.353847999999999</v>
      </c>
      <c r="H8" s="33">
        <f ca="1">24.02755*OFFSET(H$113,MATCH($N$1,$C$113:$C$114,0)-1,0)</f>
        <v>24.027550000000002</v>
      </c>
      <c r="I8" s="33">
        <f ca="1">15.159343*OFFSET(I$113,MATCH($N$1,$C$113:$C$114,0)-1,0)</f>
        <v>15.159343</v>
      </c>
      <c r="J8" s="33">
        <f ca="1">13.455737*OFFSET(J$113,MATCH($N$1,$C$113:$C$114,0)-1,0)</f>
        <v>13.455736999999999</v>
      </c>
      <c r="K8" s="33">
        <f ca="1">10.421393*OFFSET(K$113,MATCH($N$1,$C$113:$C$114,0)-1,0)</f>
        <v>10.421393</v>
      </c>
      <c r="L8" s="33">
        <f ca="1">5.246361*OFFSET(L$113,MATCH($N$1,$C$113:$C$114,0)-1,0)</f>
        <v>5.2463610000000003</v>
      </c>
      <c r="M8" s="33">
        <f ca="1">2.60160075*OFFSET(M$113,MATCH($N$1,$C$113:$C$114,0)-1,0)</f>
        <v>2.6016007499999998</v>
      </c>
      <c r="N8" s="33">
        <v>5.0705979999999995</v>
      </c>
      <c r="O8" s="29">
        <f t="shared" ca="1" si="0"/>
        <v>-0.72889220239429997</v>
      </c>
      <c r="P8" s="29">
        <f t="shared" ca="1" si="1"/>
        <v>-0.62316460257806761</v>
      </c>
    </row>
    <row r="9" spans="1:17" ht="18" customHeight="1">
      <c r="A9" s="185"/>
      <c r="B9" s="30" t="s">
        <v>195</v>
      </c>
      <c r="C9" s="31"/>
      <c r="D9" s="31">
        <v>1735</v>
      </c>
      <c r="E9" s="31">
        <v>2599</v>
      </c>
      <c r="F9" s="31">
        <v>2461</v>
      </c>
      <c r="G9" s="31">
        <v>2298</v>
      </c>
      <c r="H9" s="31">
        <v>2219</v>
      </c>
      <c r="I9" s="31">
        <v>1713</v>
      </c>
      <c r="J9" s="31">
        <v>1683</v>
      </c>
      <c r="K9" s="31">
        <v>1783</v>
      </c>
      <c r="L9" s="31">
        <v>1706</v>
      </c>
      <c r="M9" s="31">
        <v>1225</v>
      </c>
      <c r="N9" s="31">
        <v>989</v>
      </c>
      <c r="O9" s="29">
        <f t="shared" si="0"/>
        <v>-0.42997118155619596</v>
      </c>
      <c r="P9" s="29">
        <f t="shared" si="1"/>
        <v>-0.41235888294711825</v>
      </c>
    </row>
    <row r="10" spans="1:17" ht="18" customHeight="1">
      <c r="A10" s="185"/>
      <c r="B10" s="30" t="s">
        <v>196</v>
      </c>
      <c r="C10" s="31"/>
      <c r="D10" s="31">
        <v>11277.5</v>
      </c>
      <c r="E10" s="31">
        <v>16893.5</v>
      </c>
      <c r="F10" s="31">
        <v>15996.5</v>
      </c>
      <c r="G10" s="31">
        <v>14937</v>
      </c>
      <c r="H10" s="31">
        <v>14423.5</v>
      </c>
      <c r="I10" s="31">
        <v>11134.5</v>
      </c>
      <c r="J10" s="31">
        <v>10939.5</v>
      </c>
      <c r="K10" s="31">
        <v>11589.5</v>
      </c>
      <c r="L10" s="31">
        <v>11089</v>
      </c>
      <c r="M10" s="31">
        <v>7962.5</v>
      </c>
      <c r="N10" s="31">
        <v>6428.5</v>
      </c>
      <c r="O10" s="29">
        <f t="shared" si="0"/>
        <v>-0.42997118155619596</v>
      </c>
      <c r="P10" s="29">
        <f t="shared" si="1"/>
        <v>-0.41235888294711825</v>
      </c>
    </row>
    <row r="11" spans="1:17" ht="18" customHeight="1">
      <c r="A11" s="185"/>
      <c r="B11" s="30" t="s">
        <v>197</v>
      </c>
      <c r="C11" s="31"/>
      <c r="D11" s="31">
        <v>160.97640991210938</v>
      </c>
      <c r="E11" s="31">
        <v>263.26486206054688</v>
      </c>
      <c r="F11" s="31">
        <v>247.15762329101563</v>
      </c>
      <c r="G11" s="31">
        <v>232.23030090332031</v>
      </c>
      <c r="H11" s="31">
        <v>229.70765686035156</v>
      </c>
      <c r="I11" s="31">
        <v>173.99369812011719</v>
      </c>
      <c r="J11" s="31">
        <v>173.91526794433594</v>
      </c>
      <c r="K11" s="31">
        <v>183.06011962890625</v>
      </c>
      <c r="L11" s="31">
        <v>171.88693237304688</v>
      </c>
      <c r="M11" s="31">
        <v>124.20791625976563</v>
      </c>
      <c r="N11" s="31">
        <v>95.175392150878906</v>
      </c>
      <c r="O11" s="34">
        <f t="shared" si="0"/>
        <v>-0.40876186639493828</v>
      </c>
      <c r="P11" s="34">
        <f t="shared" si="1"/>
        <v>-0.45274849485129076</v>
      </c>
    </row>
    <row r="12" spans="1:17" ht="18" customHeight="1">
      <c r="A12" s="186" t="s">
        <v>198</v>
      </c>
      <c r="B12" s="35" t="s">
        <v>199</v>
      </c>
      <c r="C12" s="36"/>
      <c r="D12" s="36">
        <v>41.240001678466797</v>
      </c>
      <c r="E12" s="36">
        <v>40.977272033691406</v>
      </c>
      <c r="F12" s="36">
        <v>40.977272033691406</v>
      </c>
      <c r="G12" s="36">
        <v>40.873001098632813</v>
      </c>
      <c r="H12" s="36">
        <v>41.358890533447266</v>
      </c>
      <c r="I12" s="36">
        <v>42.068889617919922</v>
      </c>
      <c r="J12" s="36">
        <v>42.271427154541016</v>
      </c>
      <c r="K12" s="36">
        <v>41.950000762939453</v>
      </c>
      <c r="L12" s="36">
        <v>41.950000762939453</v>
      </c>
      <c r="M12" s="36">
        <v>42.352001190185547</v>
      </c>
      <c r="N12" s="36">
        <v>41.584999084472656</v>
      </c>
      <c r="O12" s="29">
        <f t="shared" si="0"/>
        <v>8.3656011630571184E-3</v>
      </c>
      <c r="P12" s="29">
        <f t="shared" si="1"/>
        <v>-1.6238582803434393E-2</v>
      </c>
    </row>
    <row r="13" spans="1:17" ht="18" customHeight="1">
      <c r="A13" s="187"/>
      <c r="B13" s="37" t="s">
        <v>190</v>
      </c>
      <c r="C13" s="31"/>
      <c r="D13" s="31">
        <v>1443.75</v>
      </c>
      <c r="E13" s="31">
        <v>1454.9090576171875</v>
      </c>
      <c r="F13" s="31">
        <v>1454.9090576171875</v>
      </c>
      <c r="G13" s="31">
        <v>1453.4000244140625</v>
      </c>
      <c r="H13" s="31">
        <v>1467.6666259765625</v>
      </c>
      <c r="I13" s="31">
        <v>1465.3333740234375</v>
      </c>
      <c r="J13" s="31">
        <v>1460.857177734375</v>
      </c>
      <c r="K13" s="31">
        <v>1482.142822265625</v>
      </c>
      <c r="L13" s="31">
        <v>1482.142822265625</v>
      </c>
      <c r="M13" s="31">
        <v>1482.4000244140625</v>
      </c>
      <c r="N13" s="31">
        <v>1484</v>
      </c>
      <c r="O13" s="29">
        <f t="shared" si="0"/>
        <v>2.7878787878787878E-2</v>
      </c>
      <c r="P13" s="29">
        <f t="shared" si="1"/>
        <v>1.5841947192618042E-2</v>
      </c>
    </row>
    <row r="14" spans="1:17" ht="18" customHeight="1">
      <c r="A14" s="187"/>
      <c r="B14" s="37" t="s">
        <v>191</v>
      </c>
      <c r="C14" s="31"/>
      <c r="D14" s="31">
        <v>452.375</v>
      </c>
      <c r="E14" s="31">
        <v>448.3636474609375</v>
      </c>
      <c r="F14" s="31">
        <v>448.3636474609375</v>
      </c>
      <c r="G14" s="31">
        <v>454.20001220703125</v>
      </c>
      <c r="H14" s="31">
        <v>470</v>
      </c>
      <c r="I14" s="31">
        <v>490.33334350585938</v>
      </c>
      <c r="J14" s="31">
        <v>499.28570556640625</v>
      </c>
      <c r="K14" s="31">
        <v>491.42855834960938</v>
      </c>
      <c r="L14" s="31">
        <v>491.42855834960938</v>
      </c>
      <c r="M14" s="31">
        <v>502.20001220703125</v>
      </c>
      <c r="N14" s="31">
        <v>480.66665649414063</v>
      </c>
      <c r="O14" s="29">
        <f t="shared" si="0"/>
        <v>6.2540274095917378E-2</v>
      </c>
      <c r="P14" s="29">
        <f t="shared" si="1"/>
        <v>-3.7291372183674995E-2</v>
      </c>
    </row>
    <row r="15" spans="1:17" ht="18" customHeight="1">
      <c r="A15" s="187"/>
      <c r="B15" s="37" t="s">
        <v>192</v>
      </c>
      <c r="C15" s="31"/>
      <c r="D15" s="31">
        <v>1011.1587524414063</v>
      </c>
      <c r="E15" s="31">
        <v>1010.9658813476563</v>
      </c>
      <c r="F15" s="31">
        <v>1010.9658813476563</v>
      </c>
      <c r="G15" s="31">
        <v>1010.1954956054688</v>
      </c>
      <c r="H15" s="31">
        <v>1023.7449951171875</v>
      </c>
      <c r="I15" s="31">
        <v>1031.1822509765625</v>
      </c>
      <c r="J15" s="31">
        <v>1031.9456787109375</v>
      </c>
      <c r="K15" s="31">
        <v>1038.7921142578125</v>
      </c>
      <c r="L15" s="31">
        <v>1038.7921142578125</v>
      </c>
      <c r="M15" s="31">
        <v>1044.011962890625</v>
      </c>
      <c r="N15" s="31">
        <v>1035.38916015625</v>
      </c>
      <c r="O15" s="29">
        <f t="shared" si="0"/>
        <v>2.3963010413884375E-2</v>
      </c>
      <c r="P15" s="29">
        <f t="shared" si="1"/>
        <v>3.3368824700288004E-3</v>
      </c>
    </row>
    <row r="16" spans="1:17" ht="18" customHeight="1">
      <c r="A16" s="187"/>
      <c r="B16" s="37" t="s">
        <v>193</v>
      </c>
      <c r="C16" s="33"/>
      <c r="D16" s="33">
        <v>1168.6771240234375</v>
      </c>
      <c r="E16" s="33">
        <v>1052.9830322265625</v>
      </c>
      <c r="F16" s="33">
        <v>995.35308837890625</v>
      </c>
      <c r="G16" s="33">
        <v>1065.3531494140625</v>
      </c>
      <c r="H16" s="33">
        <v>1197.9920654296875</v>
      </c>
      <c r="I16" s="33">
        <v>801.15673828125</v>
      </c>
      <c r="J16" s="33">
        <v>716.5264892578125</v>
      </c>
      <c r="K16" s="33">
        <v>640.81292724609375</v>
      </c>
      <c r="L16" s="33">
        <v>437.87954711914063</v>
      </c>
      <c r="M16" s="33">
        <v>406.65789794921875</v>
      </c>
      <c r="N16" s="33">
        <v>274.87454223632813</v>
      </c>
      <c r="O16" s="29">
        <f t="shared" si="0"/>
        <v>-0.7647985601959848</v>
      </c>
      <c r="P16" s="29">
        <f t="shared" si="1"/>
        <v>-0.61637909224954579</v>
      </c>
    </row>
    <row r="17" spans="1:16" ht="18" customHeight="1">
      <c r="A17" s="187"/>
      <c r="B17" s="37" t="s">
        <v>200</v>
      </c>
      <c r="C17" s="33"/>
      <c r="D17" s="33">
        <f ca="1">2337.90675*OFFSET(D$113,MATCH($N$1,$C$113:$C$114,0)-1,0)</f>
        <v>2337.9067500000001</v>
      </c>
      <c r="E17" s="33">
        <f ca="1">1935.609125*OFFSET(E$113,MATCH($N$1,$C$113:$C$114,0)-1,0)</f>
        <v>1935.6091249999999</v>
      </c>
      <c r="F17" s="33">
        <f ca="1">1915.550375*OFFSET(F$113,MATCH($N$1,$C$113:$C$114,0)-1,0)</f>
        <v>1915.550375</v>
      </c>
      <c r="G17" s="33">
        <f ca="1">2235.38475*OFFSET(G$113,MATCH($N$1,$C$113:$C$114,0)-1,0)</f>
        <v>2235.3847500000002</v>
      </c>
      <c r="H17" s="33">
        <f ca="1">2669.72775*OFFSET(H$113,MATCH($N$1,$C$113:$C$114,0)-1,0)</f>
        <v>2669.72775</v>
      </c>
      <c r="I17" s="33">
        <f ca="1">1684.371375*OFFSET(I$113,MATCH($N$1,$C$113:$C$114,0)-1,0)</f>
        <v>1684.3713749999999</v>
      </c>
      <c r="J17" s="33">
        <f ca="1">1922.248125*OFFSET(J$113,MATCH($N$1,$C$113:$C$114,0)-1,0)</f>
        <v>1922.2481250000001</v>
      </c>
      <c r="K17" s="33">
        <f ca="1">1488.770375*OFFSET(K$113,MATCH($N$1,$C$113:$C$114,0)-1,0)</f>
        <v>1488.7703750000001</v>
      </c>
      <c r="L17" s="33">
        <f ca="1">749.480125*OFFSET(L$113,MATCH($N$1,$C$113:$C$114,0)-1,0)</f>
        <v>749.48012500000004</v>
      </c>
      <c r="M17" s="33">
        <f ca="1">520.32015625*OFFSET(M$113,MATCH($N$1,$C$113:$C$114,0)-1,0)</f>
        <v>520.32015624999997</v>
      </c>
      <c r="N17" s="33">
        <v>845.09968750000007</v>
      </c>
      <c r="O17" s="29">
        <f t="shared" ca="1" si="0"/>
        <v>-0.63852292761462792</v>
      </c>
      <c r="P17" s="29">
        <f t="shared" ca="1" si="1"/>
        <v>-0.56035868808559763</v>
      </c>
    </row>
    <row r="18" spans="1:16" ht="18" customHeight="1">
      <c r="A18" s="187"/>
      <c r="B18" s="37" t="s">
        <v>195</v>
      </c>
      <c r="C18" s="31"/>
      <c r="D18" s="31">
        <v>216.875</v>
      </c>
      <c r="E18" s="31">
        <v>236.27272033691406</v>
      </c>
      <c r="F18" s="31">
        <v>223.72727966308594</v>
      </c>
      <c r="G18" s="31">
        <v>229.80000305175781</v>
      </c>
      <c r="H18" s="31">
        <v>246.55555725097656</v>
      </c>
      <c r="I18" s="31">
        <v>190.33332824707031</v>
      </c>
      <c r="J18" s="31">
        <v>240.42857360839844</v>
      </c>
      <c r="K18" s="31">
        <v>254.71427917480469</v>
      </c>
      <c r="L18" s="31">
        <v>243.71427917480469</v>
      </c>
      <c r="M18" s="31">
        <v>245</v>
      </c>
      <c r="N18" s="31">
        <v>164.83332824707031</v>
      </c>
      <c r="O18" s="29">
        <f t="shared" si="0"/>
        <v>-0.2399615988607709</v>
      </c>
      <c r="P18" s="29">
        <f t="shared" si="1"/>
        <v>-0.3144187241423933</v>
      </c>
    </row>
    <row r="19" spans="1:16" ht="18" customHeight="1">
      <c r="A19" s="187"/>
      <c r="B19" s="37" t="s">
        <v>201</v>
      </c>
      <c r="C19" s="31"/>
      <c r="D19" s="31">
        <v>25</v>
      </c>
      <c r="E19" s="31">
        <v>23.636363983154297</v>
      </c>
      <c r="F19" s="31">
        <v>24.636363983154297</v>
      </c>
      <c r="G19" s="31">
        <v>24.600000381469727</v>
      </c>
      <c r="H19" s="31">
        <v>25.111110687255859</v>
      </c>
      <c r="I19" s="31">
        <v>25.44444465637207</v>
      </c>
      <c r="J19" s="31">
        <v>27</v>
      </c>
      <c r="K19" s="31">
        <v>28.571428298950195</v>
      </c>
      <c r="L19" s="31">
        <v>29.571428298950195</v>
      </c>
      <c r="M19" s="31">
        <v>30.399999618530273</v>
      </c>
      <c r="N19" s="31">
        <v>32</v>
      </c>
      <c r="O19" s="29">
        <f t="shared" si="0"/>
        <v>0.28000000000000003</v>
      </c>
      <c r="P19" s="29">
        <f t="shared" si="1"/>
        <v>0.18518518518518517</v>
      </c>
    </row>
    <row r="20" spans="1:16" ht="18" customHeight="1">
      <c r="A20" s="187"/>
      <c r="B20" s="37" t="s">
        <v>202</v>
      </c>
      <c r="C20" s="38"/>
      <c r="D20" s="38">
        <v>5.3887128829956055</v>
      </c>
      <c r="E20" s="38">
        <v>4.4566426277160645</v>
      </c>
      <c r="F20" s="38">
        <v>4.4489569664001465</v>
      </c>
      <c r="G20" s="38">
        <v>4.6360015869140625</v>
      </c>
      <c r="H20" s="38">
        <v>4.8589134216308594</v>
      </c>
      <c r="I20" s="38">
        <v>4.2092299461364746</v>
      </c>
      <c r="J20" s="38">
        <v>2.9802052974700928</v>
      </c>
      <c r="K20" s="38">
        <v>2.5158107280731201</v>
      </c>
      <c r="L20" s="38">
        <v>1.7966922521591187</v>
      </c>
      <c r="M20" s="38">
        <v>1.6598281860351563</v>
      </c>
      <c r="N20" s="38">
        <v>1.667590856552124</v>
      </c>
      <c r="O20" s="29">
        <f t="shared" si="0"/>
        <v>-0.69054004309372219</v>
      </c>
      <c r="P20" s="29">
        <f t="shared" si="1"/>
        <v>-0.44044430161648662</v>
      </c>
    </row>
    <row r="21" spans="1:16" ht="18" customHeight="1">
      <c r="A21" s="188"/>
      <c r="B21" s="39" t="s">
        <v>203</v>
      </c>
      <c r="C21" s="40"/>
      <c r="D21" s="40">
        <f ca="1">2000*OFFSET(D$113,MATCH($N$1,$C$113:$C$114,0)-1,0)</f>
        <v>2000</v>
      </c>
      <c r="E21" s="40">
        <f ca="1">1838*OFFSET(E$113,MATCH($N$1,$C$113:$C$114,0)-1,0)</f>
        <v>1838</v>
      </c>
      <c r="F21" s="40">
        <f ca="1">1924*OFFSET(F$113,MATCH($N$1,$C$113:$C$114,0)-1,0)</f>
        <v>1924</v>
      </c>
      <c r="G21" s="40">
        <f ca="1">2098*OFFSET(G$113,MATCH($N$1,$C$113:$C$114,0)-1,0)</f>
        <v>2098</v>
      </c>
      <c r="H21" s="40">
        <f ca="1">2229*OFFSET(H$113,MATCH($N$1,$C$113:$C$114,0)-1,0)</f>
        <v>2229</v>
      </c>
      <c r="I21" s="40">
        <f ca="1">2102*OFFSET(I$113,MATCH($N$1,$C$113:$C$114,0)-1,0)</f>
        <v>2102</v>
      </c>
      <c r="J21" s="40">
        <f ca="1">2683*OFFSET(J$113,MATCH($N$1,$C$113:$C$114,0)-1,0)</f>
        <v>2683</v>
      </c>
      <c r="K21" s="40">
        <f ca="1">2323*OFFSET(K$113,MATCH($N$1,$C$113:$C$114,0)-1,0)</f>
        <v>2323</v>
      </c>
      <c r="L21" s="40">
        <f ca="1">1712*OFFSET(L$113,MATCH($N$1,$C$113:$C$114,0)-1,0)</f>
        <v>1712</v>
      </c>
      <c r="M21" s="40">
        <f ca="1">1280*OFFSET(M$113,MATCH($N$1,$C$113:$C$114,0)-1,0)</f>
        <v>1280</v>
      </c>
      <c r="N21" s="40">
        <v>3074</v>
      </c>
      <c r="O21" s="34">
        <f t="shared" ca="1" si="0"/>
        <v>0.53700000000000003</v>
      </c>
      <c r="P21" s="34">
        <f t="shared" ca="1" si="1"/>
        <v>0.14573238911666045</v>
      </c>
    </row>
    <row r="22" spans="1:16" ht="18" customHeight="1">
      <c r="A22" s="189" t="s">
        <v>204</v>
      </c>
      <c r="B22" s="35" t="s">
        <v>205</v>
      </c>
      <c r="C22" s="41"/>
      <c r="D22" s="41">
        <v>3.6989979213846667</v>
      </c>
      <c r="E22" s="41">
        <v>3.0654884837860195</v>
      </c>
      <c r="F22" s="41">
        <v>3.0560596484096374</v>
      </c>
      <c r="G22" s="41">
        <v>3.1873325317702004</v>
      </c>
      <c r="H22" s="41">
        <v>3.3147402027274158</v>
      </c>
      <c r="I22" s="41">
        <v>2.8869599537447073</v>
      </c>
      <c r="J22" s="41">
        <v>2.038167439492141</v>
      </c>
      <c r="K22" s="41">
        <v>1.698740415545378</v>
      </c>
      <c r="L22" s="41">
        <v>1.2131792835435566</v>
      </c>
      <c r="M22" s="41">
        <v>1.1211357339286796</v>
      </c>
      <c r="N22" s="41">
        <v>1.1230293539451994</v>
      </c>
      <c r="O22" s="29">
        <f t="shared" si="0"/>
        <v>-0.69639632738025181</v>
      </c>
      <c r="P22" s="29">
        <f t="shared" si="1"/>
        <v>-0.44900044413179835</v>
      </c>
    </row>
    <row r="23" spans="1:16" ht="18" customHeight="1">
      <c r="A23" s="189"/>
      <c r="B23" s="37" t="s">
        <v>206</v>
      </c>
      <c r="C23" s="38"/>
      <c r="D23" s="38">
        <f ca="1">7.39974457519008*OFFSET(D$113,MATCH($N$1,$C$113:$C$114,0)-1,0)</f>
        <v>7.3997445751900797</v>
      </c>
      <c r="E23" s="38">
        <f ca="1">5.63502668153341*OFFSET(E$113,MATCH($N$1,$C$113:$C$114,0)-1,0)</f>
        <v>5.63502668153341</v>
      </c>
      <c r="F23" s="38">
        <f ca="1">5.88136639538407*OFFSET(F$113,MATCH($N$1,$C$113:$C$114,0)-1,0)</f>
        <v>5.8813663953840702</v>
      </c>
      <c r="G23" s="38">
        <f ca="1">6.68784293604112*OFFSET(G$113,MATCH($N$1,$C$113:$C$114,0)-1,0)</f>
        <v>6.68784293604112</v>
      </c>
      <c r="H23" s="38">
        <f ca="1">7.38690527143679*OFFSET(H$113,MATCH($N$1,$C$113:$C$114,0)-1,0)</f>
        <v>7.38690527143679</v>
      </c>
      <c r="I23" s="38">
        <f ca="1">6.06961468899464*OFFSET(I$113,MATCH($N$1,$C$113:$C$114,0)-1,0)</f>
        <v>6.0696146889946396</v>
      </c>
      <c r="J23" s="38">
        <f ca="1">5.46785582631843*OFFSET(J$113,MATCH($N$1,$C$113:$C$114,0)-1,0)</f>
        <v>5.4678558263184298</v>
      </c>
      <c r="K23" s="38">
        <f ca="1">3.94660328771413*OFFSET(K$113,MATCH($N$1,$C$113:$C$114,0)-1,0)</f>
        <v>3.9466032877141299</v>
      </c>
      <c r="L23" s="38">
        <f ca="1">2.07649287814359*OFFSET(L$113,MATCH($N$1,$C$113:$C$114,0)-1,0)</f>
        <v>2.0764928781435898</v>
      </c>
      <c r="M23" s="38">
        <f ca="1">1.43449696464047*OFFSET(M$113,MATCH($N$1,$C$113:$C$114,0)-1,0)</f>
        <v>1.4344969646404699</v>
      </c>
      <c r="N23" s="38">
        <v>3.4527451991404647</v>
      </c>
      <c r="O23" s="29">
        <f t="shared" ca="1" si="0"/>
        <v>-0.53339670524346805</v>
      </c>
      <c r="P23" s="29">
        <f t="shared" ca="1" si="1"/>
        <v>-0.36853762995699946</v>
      </c>
    </row>
    <row r="24" spans="1:16" ht="18" customHeight="1">
      <c r="A24" s="189"/>
      <c r="B24" s="37" t="s">
        <v>153</v>
      </c>
      <c r="C24" s="38"/>
      <c r="D24" s="38">
        <f ca="1">7.40744041565235*OFFSET(D$113,MATCH($N$1,$C$113:$C$114,0)-1,0)</f>
        <v>7.4074404156523501</v>
      </c>
      <c r="E24" s="38">
        <f ca="1">6.0204606640252*OFFSET(E$113,MATCH($N$1,$C$113:$C$114,0)-1,0)</f>
        <v>6.0204606640252001</v>
      </c>
      <c r="F24" s="38">
        <f ca="1">6.02196429464942*OFFSET(F$113,MATCH($N$1,$C$113:$C$114,0)-1,0)</f>
        <v>6.0219642946494201</v>
      </c>
      <c r="G24" s="38">
        <f ca="1">6.40063776473765*OFFSET(G$113,MATCH($N$1,$C$113:$C$114,0)-1,0)</f>
        <v>6.4006377647376498</v>
      </c>
      <c r="H24" s="38">
        <f ca="1">6.52957168873539*OFFSET(H$113,MATCH($N$1,$C$113:$C$114,0)-1,0)</f>
        <v>6.5295716887353903</v>
      </c>
      <c r="I24" s="38">
        <f ca="1">6.04002569006544*OFFSET(I$113,MATCH($N$1,$C$113:$C$114,0)-1,0)</f>
        <v>6.0400256900654403</v>
      </c>
      <c r="J24" s="38">
        <f ca="1">6.58261956479516*OFFSET(J$113,MATCH($N$1,$C$113:$C$114,0)-1,0)</f>
        <v>6.5826195647951602</v>
      </c>
      <c r="K24" s="38">
        <f ca="1">4.41857916356185*OFFSET(K$113,MATCH($N$1,$C$113:$C$114,0)-1,0)</f>
        <v>4.4185791635618497</v>
      </c>
      <c r="L24" s="38">
        <f ca="1">3.09626133382707*OFFSET(L$113,MATCH($N$1,$C$113:$C$114,0)-1,0)</f>
        <v>3.0962613338270701</v>
      </c>
      <c r="M24" s="38">
        <f ca="1">3.06345854649085*OFFSET(M$113,MATCH($N$1,$C$113:$C$114,0)-1,0)</f>
        <v>3.0634585464908501</v>
      </c>
      <c r="N24" s="38">
        <v>5.8898245531830167</v>
      </c>
      <c r="O24" s="29">
        <f t="shared" ca="1" si="0"/>
        <v>-0.204877228477265</v>
      </c>
      <c r="P24" s="29">
        <f t="shared" ca="1" si="1"/>
        <v>-0.10524609614648178</v>
      </c>
    </row>
    <row r="25" spans="1:16" ht="18" customHeight="1">
      <c r="A25" s="189"/>
      <c r="B25" s="37" t="s">
        <v>154</v>
      </c>
      <c r="C25" s="38"/>
      <c r="D25" s="38">
        <f ca="1">0.0141138026873016*OFFSET(D$113,MATCH($N$1,$C$113:$C$114,0)-1,0)</f>
        <v>1.4113802687301599E-2</v>
      </c>
      <c r="E25" s="38">
        <f ca="1">-0.309603405134266*OFFSET(E$113,MATCH($N$1,$C$113:$C$114,0)-1,0)</f>
        <v>-0.30960340513426599</v>
      </c>
      <c r="F25" s="38">
        <f ca="1">-0.116233508265225*OFFSET(F$113,MATCH($N$1,$C$113:$C$114,0)-1,0)</f>
        <v>-0.11623350826522499</v>
      </c>
      <c r="G25" s="38">
        <f ca="1">0.491150885126524*OFFSET(G$113,MATCH($N$1,$C$113:$C$114,0)-1,0)</f>
        <v>0.49115088512652399</v>
      </c>
      <c r="H25" s="38">
        <f ca="1">0.93294178051218*OFFSET(H$113,MATCH($N$1,$C$113:$C$114,0)-1,0)</f>
        <v>0.93294178051218002</v>
      </c>
      <c r="I25" s="38">
        <f ca="1">0.214681846779398*OFFSET(I$113,MATCH($N$1,$C$113:$C$114,0)-1,0)</f>
        <v>0.214681846779398</v>
      </c>
      <c r="J25" s="38">
        <f ca="1">-0.173977567208905*OFFSET(J$113,MATCH($N$1,$C$113:$C$114,0)-1,0)</f>
        <v>-0.173977567208905</v>
      </c>
      <c r="K25" s="38">
        <f ca="1">-0.351624244437532*OFFSET(K$113,MATCH($N$1,$C$113:$C$114,0)-1,0)</f>
        <v>-0.35162424443753199</v>
      </c>
      <c r="L25" s="38">
        <f ca="1">-0.956445826808767*OFFSET(L$113,MATCH($N$1,$C$113:$C$114,0)-1,0)</f>
        <v>-0.956445826808767</v>
      </c>
      <c r="M25" s="38">
        <f ca="1">-1.58521661059288*OFFSET(M$113,MATCH($N$1,$C$113:$C$114,0)-1,0)</f>
        <v>-1.58521661059288</v>
      </c>
      <c r="N25" s="38">
        <v>-2.3317879312062941</v>
      </c>
      <c r="O25" s="29">
        <f t="shared" ca="1" si="0"/>
        <v>-166.21330096985406</v>
      </c>
      <c r="P25" s="29">
        <f t="shared" ca="1" si="1"/>
        <v>-12.402808009186497</v>
      </c>
    </row>
    <row r="26" spans="1:16" ht="18" customHeight="1">
      <c r="A26" s="189"/>
      <c r="B26" s="37" t="s">
        <v>207</v>
      </c>
      <c r="C26" s="33"/>
      <c r="D26" s="33">
        <f ca="1">116.19*OFFSET(D$113,MATCH($N$1,$C$113:$C$114,0)-1,0)</f>
        <v>116.19</v>
      </c>
      <c r="E26" s="33">
        <f ca="1">80.88*OFFSET(E$113,MATCH($N$1,$C$113:$C$114,0)-1,0)</f>
        <v>80.88</v>
      </c>
      <c r="F26" s="33">
        <f ca="1">85.26*OFFSET(F$113,MATCH($N$1,$C$113:$C$114,0)-1,0)</f>
        <v>85.26</v>
      </c>
      <c r="G26" s="33">
        <f ca="1">96.26*OFFSET(G$113,MATCH($N$1,$C$113:$C$114,0)-1,0)</f>
        <v>96.26</v>
      </c>
      <c r="H26" s="33">
        <f ca="1">104.6*OFFSET(H$113,MATCH($N$1,$C$113:$C$114,0)-1,0)</f>
        <v>104.6</v>
      </c>
      <c r="I26" s="33">
        <f ca="1">87.13*OFFSET(I$113,MATCH($N$1,$C$113:$C$114,0)-1,0)</f>
        <v>87.13</v>
      </c>
      <c r="J26" s="33">
        <f ca="1">77.37*OFFSET(J$113,MATCH($N$1,$C$113:$C$114,0)-1,0)</f>
        <v>77.37</v>
      </c>
      <c r="K26" s="33">
        <f ca="1">56.93*OFFSET(K$113,MATCH($N$1,$C$113:$C$114,0)-1,0)</f>
        <v>56.93</v>
      </c>
      <c r="L26" s="33">
        <f ca="1">30.52*OFFSET(L$113,MATCH($N$1,$C$113:$C$114,0)-1,0)</f>
        <v>30.52</v>
      </c>
      <c r="M26" s="33">
        <f ca="1">20.94*OFFSET(M$113,MATCH($N$1,$C$113:$C$114,0)-1,0)</f>
        <v>20.94</v>
      </c>
      <c r="N26" s="33">
        <v>53.28</v>
      </c>
      <c r="O26" s="29">
        <f t="shared" ca="1" si="0"/>
        <v>-0.54144074360960492</v>
      </c>
      <c r="P26" s="29">
        <f t="shared" ca="1" si="1"/>
        <v>-0.31136099263280342</v>
      </c>
    </row>
    <row r="27" spans="1:16" ht="18" customHeight="1">
      <c r="A27" s="190"/>
      <c r="B27" s="37" t="s">
        <v>208</v>
      </c>
      <c r="C27" s="33"/>
      <c r="D27" s="33">
        <f ca="1">0.22*OFFSET(D$113,MATCH($N$1,$C$113:$C$114,0)-1,0)</f>
        <v>0.22</v>
      </c>
      <c r="E27" s="33">
        <f ca="1">-4.44*OFFSET(E$113,MATCH($N$1,$C$113:$C$114,0)-1,0)</f>
        <v>-4.4400000000000004</v>
      </c>
      <c r="F27" s="33">
        <f ca="1">-1.69*OFFSET(F$113,MATCH($N$1,$C$113:$C$114,0)-1,0)</f>
        <v>-1.69</v>
      </c>
      <c r="G27" s="33">
        <f ca="1">7.07*OFFSET(G$113,MATCH($N$1,$C$113:$C$114,0)-1,0)</f>
        <v>7.07</v>
      </c>
      <c r="H27" s="33">
        <f ca="1">13.21*OFFSET(H$113,MATCH($N$1,$C$113:$C$114,0)-1,0)</f>
        <v>13.21</v>
      </c>
      <c r="I27" s="33">
        <f ca="1">3.08*OFFSET(I$113,MATCH($N$1,$C$113:$C$114,0)-1,0)</f>
        <v>3.08</v>
      </c>
      <c r="J27" s="33">
        <f ca="1">-2.46*OFFSET(J$113,MATCH($N$1,$C$113:$C$114,0)-1,0)</f>
        <v>-2.46</v>
      </c>
      <c r="K27" s="33">
        <f ca="1">-5.07*OFFSET(K$113,MATCH($N$1,$C$113:$C$114,0)-1,0)</f>
        <v>-5.07</v>
      </c>
      <c r="L27" s="33">
        <f ca="1">-14.06*OFFSET(L$113,MATCH($N$1,$C$113:$C$114,0)-1,0)</f>
        <v>-14.06</v>
      </c>
      <c r="M27" s="33">
        <f ca="1">-23.15*OFFSET(M$113,MATCH($N$1,$C$113:$C$114,0)-1,0)</f>
        <v>-23.15</v>
      </c>
      <c r="N27" s="33">
        <v>-35.979999999999997</v>
      </c>
      <c r="O27" s="34">
        <f t="shared" ca="1" si="0"/>
        <v>-164.54545454545453</v>
      </c>
      <c r="P27" s="34">
        <f t="shared" ca="1" si="1"/>
        <v>-13.626016260162601</v>
      </c>
    </row>
    <row r="28" spans="1:16" s="78" customFormat="1" ht="18" customHeight="1">
      <c r="A28" s="191" t="s">
        <v>209</v>
      </c>
      <c r="B28" s="82" t="s">
        <v>200</v>
      </c>
      <c r="C28" s="83"/>
      <c r="D28" s="83">
        <f ca="1">2337.9*OFFSET(D$113,MATCH($N$1,$C$113:$C$114,0)-1,0)</f>
        <v>2337.9</v>
      </c>
      <c r="E28" s="83">
        <f ca="1">1935.6*OFFSET(E$113,MATCH($N$1,$C$113:$C$114,0)-1,0)</f>
        <v>1935.6</v>
      </c>
      <c r="F28" s="83">
        <f ca="1">1915.6*OFFSET(F$113,MATCH($N$1,$C$113:$C$114,0)-1,0)</f>
        <v>1915.6</v>
      </c>
      <c r="G28" s="83">
        <f ca="1">2235.4*OFFSET(G$113,MATCH($N$1,$C$113:$C$114,0)-1,0)</f>
        <v>2235.4</v>
      </c>
      <c r="H28" s="83">
        <f ca="1">2669.7*OFFSET(H$113,MATCH($N$1,$C$113:$C$114,0)-1,0)</f>
        <v>2669.7</v>
      </c>
      <c r="I28" s="83">
        <f ca="1">1684.4*OFFSET(I$113,MATCH($N$1,$C$113:$C$114,0)-1,0)</f>
        <v>1684.4</v>
      </c>
      <c r="J28" s="83">
        <f ca="1">1922.2*OFFSET(J$113,MATCH($N$1,$C$113:$C$114,0)-1,0)</f>
        <v>1922.2</v>
      </c>
      <c r="K28" s="83">
        <f ca="1">1488.8*OFFSET(K$113,MATCH($N$1,$C$113:$C$114,0)-1,0)</f>
        <v>1488.8</v>
      </c>
      <c r="L28" s="83">
        <f ca="1">749.5*OFFSET(L$113,MATCH($N$1,$C$113:$C$114,0)-1,0)</f>
        <v>749.5</v>
      </c>
      <c r="M28" s="83">
        <f ca="1">520.3*OFFSET(M$113,MATCH($N$1,$C$113:$C$114,0)-1,0)</f>
        <v>520.29999999999995</v>
      </c>
      <c r="N28" s="83">
        <v>845.1</v>
      </c>
      <c r="O28" s="84">
        <f t="shared" ca="1" si="0"/>
        <v>-0.63852175028872071</v>
      </c>
      <c r="P28" s="84">
        <f t="shared" ca="1" si="1"/>
        <v>-0.56034751846842157</v>
      </c>
    </row>
    <row r="29" spans="1:16" s="78" customFormat="1" ht="18" customHeight="1">
      <c r="A29" s="192"/>
      <c r="B29" s="85" t="s">
        <v>210</v>
      </c>
      <c r="C29" s="86"/>
      <c r="D29" s="86">
        <f ca="1">6.9*OFFSET(D$113,MATCH($N$1,$C$113:$C$114,0)-1,0)</f>
        <v>6.9</v>
      </c>
      <c r="E29" s="86">
        <f ca="1">26*OFFSET(E$113,MATCH($N$1,$C$113:$C$114,0)-1,0)</f>
        <v>26</v>
      </c>
      <c r="F29" s="86">
        <f ca="1">7.9*OFFSET(F$113,MATCH($N$1,$C$113:$C$114,0)-1,0)</f>
        <v>7.9</v>
      </c>
      <c r="G29" s="86">
        <f ca="1">68.2*OFFSET(G$113,MATCH($N$1,$C$113:$C$114,0)-1,0)</f>
        <v>68.2</v>
      </c>
      <c r="H29" s="86">
        <f ca="1">27.3*OFFSET(H$113,MATCH($N$1,$C$113:$C$114,0)-1,0)</f>
        <v>27.3</v>
      </c>
      <c r="I29" s="86">
        <f ca="1">51.4*OFFSET(I$113,MATCH($N$1,$C$113:$C$114,0)-1,0)</f>
        <v>51.4</v>
      </c>
      <c r="J29" s="86">
        <f ca="1">330.7*OFFSET(J$113,MATCH($N$1,$C$113:$C$114,0)-1,0)</f>
        <v>330.7</v>
      </c>
      <c r="K29" s="86">
        <f ca="1">45.4*OFFSET(K$113,MATCH($N$1,$C$113:$C$114,0)-1,0)</f>
        <v>45.4</v>
      </c>
      <c r="L29" s="86">
        <f ca="1">22.9*OFFSET(L$113,MATCH($N$1,$C$113:$C$114,0)-1,0)</f>
        <v>22.9</v>
      </c>
      <c r="M29" s="86">
        <f ca="1">15.9*OFFSET(M$113,MATCH($N$1,$C$113:$C$114,0)-1,0)</f>
        <v>15.9</v>
      </c>
      <c r="N29" s="86">
        <v>25.8</v>
      </c>
      <c r="O29" s="84">
        <f t="shared" ca="1" si="0"/>
        <v>2.7391304347826084</v>
      </c>
      <c r="P29" s="84">
        <f t="shared" ca="1" si="1"/>
        <v>-0.92198367100090717</v>
      </c>
    </row>
    <row r="30" spans="1:16" s="78" customFormat="1" ht="18" customHeight="1">
      <c r="A30" s="192"/>
      <c r="B30" s="87" t="s">
        <v>211</v>
      </c>
      <c r="C30" s="88"/>
      <c r="D30" s="88">
        <f ca="1">2344.8*OFFSET(D$113,MATCH($N$1,$C$113:$C$114,0)-1,0)</f>
        <v>2344.8000000000002</v>
      </c>
      <c r="E30" s="88">
        <f ca="1">1961.7*OFFSET(E$113,MATCH($N$1,$C$113:$C$114,0)-1,0)</f>
        <v>1961.7</v>
      </c>
      <c r="F30" s="88">
        <f ca="1">1923.5*OFFSET(F$113,MATCH($N$1,$C$113:$C$114,0)-1,0)</f>
        <v>1923.5</v>
      </c>
      <c r="G30" s="88">
        <f ca="1">2303.6*OFFSET(G$113,MATCH($N$1,$C$113:$C$114,0)-1,0)</f>
        <v>2303.6</v>
      </c>
      <c r="H30" s="88">
        <f ca="1">2697.1*OFFSET(H$113,MATCH($N$1,$C$113:$C$114,0)-1,0)</f>
        <v>2697.1</v>
      </c>
      <c r="I30" s="88">
        <f ca="1">1735.7*OFFSET(I$113,MATCH($N$1,$C$113:$C$114,0)-1,0)</f>
        <v>1735.7</v>
      </c>
      <c r="J30" s="88">
        <f ca="1">2253*OFFSET(J$113,MATCH($N$1,$C$113:$C$114,0)-1,0)</f>
        <v>2253</v>
      </c>
      <c r="K30" s="88">
        <f ca="1">1534.2*OFFSET(K$113,MATCH($N$1,$C$113:$C$114,0)-1,0)</f>
        <v>1534.2</v>
      </c>
      <c r="L30" s="88">
        <f ca="1">772.3*OFFSET(L$113,MATCH($N$1,$C$113:$C$114,0)-1,0)</f>
        <v>772.3</v>
      </c>
      <c r="M30" s="88">
        <f ca="1">536.2*OFFSET(M$113,MATCH($N$1,$C$113:$C$114,0)-1,0)</f>
        <v>536.20000000000005</v>
      </c>
      <c r="N30" s="88">
        <v>870.9</v>
      </c>
      <c r="O30" s="84">
        <f t="shared" ca="1" si="0"/>
        <v>-0.62858239508700098</v>
      </c>
      <c r="P30" s="84">
        <f t="shared" ca="1" si="1"/>
        <v>-0.61344873501997332</v>
      </c>
    </row>
    <row r="31" spans="1:16" s="78" customFormat="1" ht="18" customHeight="1">
      <c r="A31" s="192"/>
      <c r="B31" s="85" t="s">
        <v>212</v>
      </c>
      <c r="C31" s="86"/>
      <c r="D31" s="86">
        <f ca="1">997.1*OFFSET(D$113,MATCH($N$1,$C$113:$C$114,0)-1,0)</f>
        <v>997.1</v>
      </c>
      <c r="E31" s="86">
        <f ca="1">1034.3*OFFSET(E$113,MATCH($N$1,$C$113:$C$114,0)-1,0)</f>
        <v>1034.3</v>
      </c>
      <c r="F31" s="86">
        <f ca="1">887.5*OFFSET(F$113,MATCH($N$1,$C$113:$C$114,0)-1,0)</f>
        <v>887.5</v>
      </c>
      <c r="G31" s="86">
        <f ca="1">631.3*OFFSET(G$113,MATCH($N$1,$C$113:$C$114,0)-1,0)</f>
        <v>631.29999999999995</v>
      </c>
      <c r="H31" s="86">
        <f ca="1">633.3*OFFSET(H$113,MATCH($N$1,$C$113:$C$114,0)-1,0)</f>
        <v>633.29999999999995</v>
      </c>
      <c r="I31" s="86">
        <f ca="1">594.6*OFFSET(I$113,MATCH($N$1,$C$113:$C$114,0)-1,0)</f>
        <v>594.6</v>
      </c>
      <c r="J31" s="86">
        <f ca="1">894*OFFSET(J$113,MATCH($N$1,$C$113:$C$114,0)-1,0)</f>
        <v>894</v>
      </c>
      <c r="K31" s="86">
        <f ca="1">911.1*OFFSET(K$113,MATCH($N$1,$C$113:$C$114,0)-1,0)</f>
        <v>911.1</v>
      </c>
      <c r="L31" s="86">
        <f ca="1">611.9*OFFSET(L$113,MATCH($N$1,$C$113:$C$114,0)-1,0)</f>
        <v>611.9</v>
      </c>
      <c r="M31" s="86">
        <f ca="1">760.2*OFFSET(M$113,MATCH($N$1,$C$113:$C$114,0)-1,0)</f>
        <v>760.2</v>
      </c>
      <c r="N31" s="86">
        <v>871.5</v>
      </c>
      <c r="O31" s="84">
        <f t="shared" ca="1" si="0"/>
        <v>-0.12596529936816769</v>
      </c>
      <c r="P31" s="84">
        <f t="shared" ca="1" si="1"/>
        <v>-2.5167785234899327E-2</v>
      </c>
    </row>
    <row r="32" spans="1:16" s="78" customFormat="1" ht="18" customHeight="1">
      <c r="A32" s="192"/>
      <c r="B32" s="85" t="s">
        <v>213</v>
      </c>
      <c r="C32" s="86"/>
      <c r="D32" s="86">
        <f ca="1">254.1*OFFSET(D$113,MATCH($N$1,$C$113:$C$114,0)-1,0)</f>
        <v>254.1</v>
      </c>
      <c r="E32" s="86">
        <f ca="1">206.3*OFFSET(E$113,MATCH($N$1,$C$113:$C$114,0)-1,0)</f>
        <v>206.3</v>
      </c>
      <c r="F32" s="86">
        <f ca="1">278*OFFSET(F$113,MATCH($N$1,$C$113:$C$114,0)-1,0)</f>
        <v>278</v>
      </c>
      <c r="G32" s="86">
        <f ca="1">488.4*OFFSET(G$113,MATCH($N$1,$C$113:$C$114,0)-1,0)</f>
        <v>488.4</v>
      </c>
      <c r="H32" s="86">
        <f ca="1">615.9*OFFSET(H$113,MATCH($N$1,$C$113:$C$114,0)-1,0)</f>
        <v>615.9</v>
      </c>
      <c r="I32" s="86">
        <f ca="1">313.3*OFFSET(I$113,MATCH($N$1,$C$113:$C$114,0)-1,0)</f>
        <v>313.3</v>
      </c>
      <c r="J32" s="86">
        <f ca="1">394.5*OFFSET(J$113,MATCH($N$1,$C$113:$C$114,0)-1,0)</f>
        <v>394.5</v>
      </c>
      <c r="K32" s="86">
        <f ca="1">76.6*OFFSET(K$113,MATCH($N$1,$C$113:$C$114,0)-1,0)</f>
        <v>76.599999999999994</v>
      </c>
      <c r="L32" s="86">
        <f ca="1">163.8*OFFSET(L$113,MATCH($N$1,$C$113:$C$114,0)-1,0)</f>
        <v>163.80000000000001</v>
      </c>
      <c r="M32" s="86">
        <f ca="1">113.7*OFFSET(M$113,MATCH($N$1,$C$113:$C$114,0)-1,0)</f>
        <v>113.7</v>
      </c>
      <c r="N32" s="86">
        <v>184.70000000000002</v>
      </c>
      <c r="O32" s="84">
        <f t="shared" ca="1" si="0"/>
        <v>-0.27312081857536397</v>
      </c>
      <c r="P32" s="84">
        <f t="shared" ca="1" si="1"/>
        <v>-0.53181242078580482</v>
      </c>
    </row>
    <row r="33" spans="1:16" s="78" customFormat="1" ht="18" customHeight="1">
      <c r="A33" s="192"/>
      <c r="B33" s="85" t="s">
        <v>214</v>
      </c>
      <c r="C33" s="86"/>
      <c r="D33" s="86">
        <f ca="1">715.9*OFFSET(D$113,MATCH($N$1,$C$113:$C$114,0)-1,0)</f>
        <v>715.9</v>
      </c>
      <c r="E33" s="86">
        <f ca="1">515.4*OFFSET(E$113,MATCH($N$1,$C$113:$C$114,0)-1,0)</f>
        <v>515.4</v>
      </c>
      <c r="F33" s="86">
        <f ca="1">506.4*OFFSET(F$113,MATCH($N$1,$C$113:$C$114,0)-1,0)</f>
        <v>506.4</v>
      </c>
      <c r="G33" s="86">
        <f ca="1">640.3*OFFSET(G$113,MATCH($N$1,$C$113:$C$114,0)-1,0)</f>
        <v>640.29999999999995</v>
      </c>
      <c r="H33" s="86">
        <f ca="1">440.5*OFFSET(H$113,MATCH($N$1,$C$113:$C$114,0)-1,0)</f>
        <v>440.5</v>
      </c>
      <c r="I33" s="86">
        <f ca="1">482.5*OFFSET(I$113,MATCH($N$1,$C$113:$C$114,0)-1,0)</f>
        <v>482.5</v>
      </c>
      <c r="J33" s="86">
        <f ca="1">768.2*OFFSET(J$113,MATCH($N$1,$C$113:$C$114,0)-1,0)</f>
        <v>768.2</v>
      </c>
      <c r="K33" s="86">
        <f ca="1">426.5*OFFSET(K$113,MATCH($N$1,$C$113:$C$114,0)-1,0)</f>
        <v>426.5</v>
      </c>
      <c r="L33" s="86">
        <f ca="1">214.7*OFFSET(L$113,MATCH($N$1,$C$113:$C$114,0)-1,0)</f>
        <v>214.7</v>
      </c>
      <c r="M33" s="86">
        <f ca="1">149*OFFSET(M$113,MATCH($N$1,$C$113:$C$114,0)-1,0)</f>
        <v>149</v>
      </c>
      <c r="N33" s="86">
        <v>242.1</v>
      </c>
      <c r="O33" s="84">
        <f t="shared" ca="1" si="0"/>
        <v>-0.66182427713367786</v>
      </c>
      <c r="P33" s="84">
        <f t="shared" ca="1" si="1"/>
        <v>-0.68484769591252281</v>
      </c>
    </row>
    <row r="34" spans="1:16" s="78" customFormat="1" ht="18" customHeight="1">
      <c r="A34" s="192"/>
      <c r="B34" s="85" t="s">
        <v>215</v>
      </c>
      <c r="C34" s="86"/>
      <c r="D34" s="86">
        <f ca="1">1967.1*OFFSET(D$113,MATCH($N$1,$C$113:$C$114,0)-1,0)</f>
        <v>1967.1</v>
      </c>
      <c r="E34" s="86">
        <f ca="1">1756*OFFSET(E$113,MATCH($N$1,$C$113:$C$114,0)-1,0)</f>
        <v>1756</v>
      </c>
      <c r="F34" s="86">
        <f ca="1">1671.9*OFFSET(F$113,MATCH($N$1,$C$113:$C$114,0)-1,0)</f>
        <v>1671.9</v>
      </c>
      <c r="G34" s="86">
        <f ca="1">1760.1*OFFSET(G$113,MATCH($N$1,$C$113:$C$114,0)-1,0)</f>
        <v>1760.1</v>
      </c>
      <c r="H34" s="86">
        <f ca="1">1689.7*OFFSET(H$113,MATCH($N$1,$C$113:$C$114,0)-1,0)</f>
        <v>1689.7</v>
      </c>
      <c r="I34" s="86">
        <f ca="1">1390.4*OFFSET(I$113,MATCH($N$1,$C$113:$C$114,0)-1,0)</f>
        <v>1390.4</v>
      </c>
      <c r="J34" s="86">
        <f ca="1">2056.6*OFFSET(J$113,MATCH($N$1,$C$113:$C$114,0)-1,0)</f>
        <v>2056.6</v>
      </c>
      <c r="K34" s="86">
        <f ca="1">1414.2*OFFSET(K$113,MATCH($N$1,$C$113:$C$114,0)-1,0)</f>
        <v>1414.2</v>
      </c>
      <c r="L34" s="86">
        <f ca="1">990.4*OFFSET(L$113,MATCH($N$1,$C$113:$C$114,0)-1,0)</f>
        <v>990.4</v>
      </c>
      <c r="M34" s="86">
        <f ca="1">1022.9*OFFSET(M$113,MATCH($N$1,$C$113:$C$114,0)-1,0)</f>
        <v>1022.9</v>
      </c>
      <c r="N34" s="86">
        <v>1298.2</v>
      </c>
      <c r="O34" s="84">
        <f t="shared" ca="1" si="0"/>
        <v>-0.34004371918051951</v>
      </c>
      <c r="P34" s="84">
        <f t="shared" ca="1" si="1"/>
        <v>-0.36876397938344835</v>
      </c>
    </row>
    <row r="35" spans="1:16" s="78" customFormat="1" ht="18" customHeight="1">
      <c r="A35" s="192"/>
      <c r="B35" s="85" t="s">
        <v>216</v>
      </c>
      <c r="C35" s="86"/>
      <c r="D35" s="86">
        <f ca="1">373.3*OFFSET(D$113,MATCH($N$1,$C$113:$C$114,0)-1,0)</f>
        <v>373.3</v>
      </c>
      <c r="E35" s="86">
        <f ca="1">312*OFFSET(E$113,MATCH($N$1,$C$113:$C$114,0)-1,0)</f>
        <v>312</v>
      </c>
      <c r="F35" s="86">
        <f ca="1">289.4*OFFSET(F$113,MATCH($N$1,$C$113:$C$114,0)-1,0)</f>
        <v>289.39999999999998</v>
      </c>
      <c r="G35" s="86">
        <f ca="1">379.3*OFFSET(G$113,MATCH($N$1,$C$113:$C$114,0)-1,0)</f>
        <v>379.3</v>
      </c>
      <c r="H35" s="86">
        <f ca="1">670.2*OFFSET(H$113,MATCH($N$1,$C$113:$C$114,0)-1,0)</f>
        <v>670.2</v>
      </c>
      <c r="I35" s="86">
        <f ca="1">285.8*OFFSET(I$113,MATCH($N$1,$C$113:$C$114,0)-1,0)</f>
        <v>285.8</v>
      </c>
      <c r="J35" s="86">
        <f ca="1">257.5*OFFSET(J$113,MATCH($N$1,$C$113:$C$114,0)-1,0)</f>
        <v>257.5</v>
      </c>
      <c r="K35" s="86">
        <f ca="1">252.6*OFFSET(K$113,MATCH($N$1,$C$113:$C$114,0)-1,0)</f>
        <v>252.6</v>
      </c>
      <c r="L35" s="86">
        <f ca="1">127.2*OFFSET(L$113,MATCH($N$1,$C$113:$C$114,0)-1,0)</f>
        <v>127.2</v>
      </c>
      <c r="M35" s="86">
        <f ca="1">88.3*OFFSET(M$113,MATCH($N$1,$C$113:$C$114,0)-1,0)</f>
        <v>88.3</v>
      </c>
      <c r="N35" s="86">
        <v>143.4</v>
      </c>
      <c r="O35" s="84">
        <f t="shared" ca="1" si="0"/>
        <v>-0.61585855879989282</v>
      </c>
      <c r="P35" s="84">
        <f t="shared" ca="1" si="1"/>
        <v>-0.44310679611650483</v>
      </c>
    </row>
    <row r="36" spans="1:16" s="78" customFormat="1" ht="18" customHeight="1">
      <c r="A36" s="192"/>
      <c r="B36" s="85" t="s">
        <v>217</v>
      </c>
      <c r="C36" s="86"/>
      <c r="D36" s="86">
        <f ca="1">2340.3*OFFSET(D$113,MATCH($N$1,$C$113:$C$114,0)-1,0)</f>
        <v>2340.3000000000002</v>
      </c>
      <c r="E36" s="86">
        <f ca="1">2068*OFFSET(E$113,MATCH($N$1,$C$113:$C$114,0)-1,0)</f>
        <v>2068</v>
      </c>
      <c r="F36" s="86">
        <f ca="1">1961.3*OFFSET(F$113,MATCH($N$1,$C$113:$C$114,0)-1,0)</f>
        <v>1961.3</v>
      </c>
      <c r="G36" s="86">
        <f ca="1">2139.4*OFFSET(G$113,MATCH($N$1,$C$113:$C$114,0)-1,0)</f>
        <v>2139.4</v>
      </c>
      <c r="H36" s="86">
        <f ca="1">2359.9*OFFSET(H$113,MATCH($N$1,$C$113:$C$114,0)-1,0)</f>
        <v>2359.9</v>
      </c>
      <c r="I36" s="86">
        <f ca="1">1676.2*OFFSET(I$113,MATCH($N$1,$C$113:$C$114,0)-1,0)</f>
        <v>1676.2</v>
      </c>
      <c r="J36" s="86">
        <f ca="1">2314.1*OFFSET(J$113,MATCH($N$1,$C$113:$C$114,0)-1,0)</f>
        <v>2314.1</v>
      </c>
      <c r="K36" s="86">
        <f ca="1">1666.8*OFFSET(K$113,MATCH($N$1,$C$113:$C$114,0)-1,0)</f>
        <v>1666.8</v>
      </c>
      <c r="L36" s="86">
        <f ca="1">1117.6*OFFSET(L$113,MATCH($N$1,$C$113:$C$114,0)-1,0)</f>
        <v>1117.5999999999999</v>
      </c>
      <c r="M36" s="86">
        <f ca="1">1111.2*OFFSET(M$113,MATCH($N$1,$C$113:$C$114,0)-1,0)</f>
        <v>1111.2</v>
      </c>
      <c r="N36" s="86">
        <v>1441.6000000000001</v>
      </c>
      <c r="O36" s="84">
        <f t="shared" ca="1" si="0"/>
        <v>-0.38401059693201728</v>
      </c>
      <c r="P36" s="84">
        <f t="shared" ca="1" si="1"/>
        <v>-0.37703642884922856</v>
      </c>
    </row>
    <row r="37" spans="1:16" s="78" customFormat="1" ht="18" customHeight="1">
      <c r="A37" s="192"/>
      <c r="B37" s="87" t="s">
        <v>218</v>
      </c>
      <c r="C37" s="88"/>
      <c r="D37" s="88">
        <f ca="1">258.6*OFFSET(D$113,MATCH($N$1,$C$113:$C$114,0)-1,0)</f>
        <v>258.60000000000002</v>
      </c>
      <c r="E37" s="88">
        <f ca="1">100*OFFSET(E$113,MATCH($N$1,$C$113:$C$114,0)-1,0)</f>
        <v>100</v>
      </c>
      <c r="F37" s="88">
        <f ca="1">240.1*OFFSET(F$113,MATCH($N$1,$C$113:$C$114,0)-1,0)</f>
        <v>240.1</v>
      </c>
      <c r="G37" s="88">
        <f ca="1">652.6*OFFSET(G$113,MATCH($N$1,$C$113:$C$114,0)-1,0)</f>
        <v>652.6</v>
      </c>
      <c r="H37" s="88">
        <f ca="1">953.1*OFFSET(H$113,MATCH($N$1,$C$113:$C$114,0)-1,0)</f>
        <v>953.1</v>
      </c>
      <c r="I37" s="88">
        <f ca="1">372.9*OFFSET(I$113,MATCH($N$1,$C$113:$C$114,0)-1,0)</f>
        <v>372.9</v>
      </c>
      <c r="J37" s="88">
        <f ca="1">333.3*OFFSET(J$113,MATCH($N$1,$C$113:$C$114,0)-1,0)</f>
        <v>333.3</v>
      </c>
      <c r="K37" s="88">
        <f ca="1">-56*OFFSET(K$113,MATCH($N$1,$C$113:$C$114,0)-1,0)</f>
        <v>-56</v>
      </c>
      <c r="L37" s="88">
        <f ca="1">-181.4*OFFSET(L$113,MATCH($N$1,$C$113:$C$114,0)-1,0)</f>
        <v>-181.4</v>
      </c>
      <c r="M37" s="88">
        <f ca="1">-461.3*OFFSET(M$113,MATCH($N$1,$C$113:$C$114,0)-1,0)</f>
        <v>-461.3</v>
      </c>
      <c r="N37" s="88">
        <v>-386</v>
      </c>
      <c r="O37" s="84">
        <f t="shared" ca="1" si="0"/>
        <v>-2.4926527455529772</v>
      </c>
      <c r="P37" s="84">
        <f t="shared" ca="1" si="1"/>
        <v>-2.1581158115811578</v>
      </c>
    </row>
    <row r="38" spans="1:16" s="78" customFormat="1" ht="18" customHeight="1">
      <c r="A38" s="192"/>
      <c r="B38" s="87" t="s">
        <v>219</v>
      </c>
      <c r="C38" s="88"/>
      <c r="D38" s="88">
        <f ca="1">4.5*OFFSET(D$113,MATCH($N$1,$C$113:$C$114,0)-1,0)</f>
        <v>4.5</v>
      </c>
      <c r="E38" s="88">
        <f ca="1">-106.3*OFFSET(E$113,MATCH($N$1,$C$113:$C$114,0)-1,0)</f>
        <v>-106.3</v>
      </c>
      <c r="F38" s="88">
        <f ca="1">-37.9*OFFSET(F$113,MATCH($N$1,$C$113:$C$114,0)-1,0)</f>
        <v>-37.9</v>
      </c>
      <c r="G38" s="88">
        <f ca="1">164.2*OFFSET(G$113,MATCH($N$1,$C$113:$C$114,0)-1,0)</f>
        <v>164.2</v>
      </c>
      <c r="H38" s="88">
        <f ca="1">337.2*OFFSET(H$113,MATCH($N$1,$C$113:$C$114,0)-1,0)</f>
        <v>337.2</v>
      </c>
      <c r="I38" s="88">
        <f ca="1">59.6*OFFSET(I$113,MATCH($N$1,$C$113:$C$114,0)-1,0)</f>
        <v>59.6</v>
      </c>
      <c r="J38" s="88">
        <f ca="1">-61.2*OFFSET(J$113,MATCH($N$1,$C$113:$C$114,0)-1,0)</f>
        <v>-61.2</v>
      </c>
      <c r="K38" s="88">
        <f ca="1">-132.6*OFFSET(K$113,MATCH($N$1,$C$113:$C$114,0)-1,0)</f>
        <v>-132.6</v>
      </c>
      <c r="L38" s="88">
        <f ca="1">-345.2*OFFSET(L$113,MATCH($N$1,$C$113:$C$114,0)-1,0)</f>
        <v>-345.2</v>
      </c>
      <c r="M38" s="88">
        <f ca="1">-575*OFFSET(M$113,MATCH($N$1,$C$113:$C$114,0)-1,0)</f>
        <v>-575</v>
      </c>
      <c r="N38" s="88">
        <v>-570.70000000000005</v>
      </c>
      <c r="O38" s="84">
        <f t="shared" ca="1" si="0"/>
        <v>-127.82222222222224</v>
      </c>
      <c r="P38" s="84">
        <f t="shared" ca="1" si="1"/>
        <v>-8.3251633986928102</v>
      </c>
    </row>
    <row r="39" spans="1:16" s="78" customFormat="1" ht="18" customHeight="1">
      <c r="A39" s="192"/>
      <c r="B39" s="85" t="s">
        <v>220</v>
      </c>
      <c r="C39" s="86"/>
      <c r="D39" s="86">
        <f ca="1">125.5*OFFSET(D$113,MATCH($N$1,$C$113:$C$114,0)-1,0)</f>
        <v>125.5</v>
      </c>
      <c r="E39" s="86">
        <f ca="1">113.5*OFFSET(E$113,MATCH($N$1,$C$113:$C$114,0)-1,0)</f>
        <v>113.5</v>
      </c>
      <c r="F39" s="86">
        <f ca="1">226.2*OFFSET(F$113,MATCH($N$1,$C$113:$C$114,0)-1,0)</f>
        <v>226.2</v>
      </c>
      <c r="G39" s="86">
        <f ca="1">170.7*OFFSET(G$113,MATCH($N$1,$C$113:$C$114,0)-1,0)</f>
        <v>170.7</v>
      </c>
      <c r="H39" s="86">
        <f ca="1">239.1*OFFSET(H$113,MATCH($N$1,$C$113:$C$114,0)-1,0)</f>
        <v>239.1</v>
      </c>
      <c r="I39" s="86"/>
      <c r="J39" s="86"/>
      <c r="K39" s="86"/>
      <c r="L39" s="86"/>
      <c r="M39" s="86"/>
      <c r="N39" s="86"/>
      <c r="O39" s="84" t="str">
        <f t="shared" si="0"/>
        <v/>
      </c>
      <c r="P39" s="84" t="str">
        <f t="shared" si="1"/>
        <v/>
      </c>
    </row>
    <row r="40" spans="1:16" s="78" customFormat="1" ht="18" customHeight="1">
      <c r="A40" s="192"/>
      <c r="B40" s="85" t="s">
        <v>221</v>
      </c>
      <c r="C40" s="86"/>
      <c r="D40" s="86">
        <f ca="1">96.1*OFFSET(D$113,MATCH($N$1,$C$113:$C$114,0)-1,0)</f>
        <v>96.1</v>
      </c>
      <c r="E40" s="86">
        <f ca="1">12.5*OFFSET(E$113,MATCH($N$1,$C$113:$C$114,0)-1,0)</f>
        <v>12.5</v>
      </c>
      <c r="F40" s="86">
        <f ca="1">4.8*OFFSET(F$113,MATCH($N$1,$C$113:$C$114,0)-1,0)</f>
        <v>4.8</v>
      </c>
      <c r="G40" s="86">
        <f ca="1">61.1*OFFSET(G$113,MATCH($N$1,$C$113:$C$114,0)-1,0)</f>
        <v>61.1</v>
      </c>
      <c r="H40" s="86">
        <f ca="1">76.9*OFFSET(H$113,MATCH($N$1,$C$113:$C$114,0)-1,0)</f>
        <v>76.900000000000006</v>
      </c>
      <c r="I40" s="86"/>
      <c r="J40" s="86">
        <f ca="1">437.5*OFFSET(J$113,MATCH($N$1,$C$113:$C$114,0)-1,0)</f>
        <v>437.5</v>
      </c>
      <c r="K40" s="86"/>
      <c r="L40" s="86"/>
      <c r="M40" s="86"/>
      <c r="N40" s="86"/>
      <c r="O40" s="84" t="str">
        <f t="shared" si="0"/>
        <v/>
      </c>
      <c r="P40" s="84" t="str">
        <f t="shared" si="1"/>
        <v/>
      </c>
    </row>
    <row r="41" spans="1:16" s="78" customFormat="1" ht="18" customHeight="1">
      <c r="A41" s="192"/>
      <c r="B41" s="85" t="s">
        <v>222</v>
      </c>
      <c r="C41" s="86"/>
      <c r="D41" s="86"/>
      <c r="E41" s="86">
        <f ca="1">12.5*OFFSET(E$113,MATCH($N$1,$C$113:$C$114,0)-1,0)</f>
        <v>12.5</v>
      </c>
      <c r="F41" s="86">
        <f ca="1">4.8*OFFSET(F$113,MATCH($N$1,$C$113:$C$114,0)-1,0)</f>
        <v>4.8</v>
      </c>
      <c r="G41" s="86">
        <f ca="1">73.2*OFFSET(G$113,MATCH($N$1,$C$113:$C$114,0)-1,0)</f>
        <v>73.2</v>
      </c>
      <c r="H41" s="86">
        <f ca="1">31*OFFSET(H$113,MATCH($N$1,$C$113:$C$114,0)-1,0)</f>
        <v>31</v>
      </c>
      <c r="I41" s="86"/>
      <c r="J41" s="86"/>
      <c r="K41" s="86"/>
      <c r="L41" s="86"/>
      <c r="M41" s="86"/>
      <c r="N41" s="86"/>
      <c r="O41" s="84" t="str">
        <f t="shared" si="0"/>
        <v/>
      </c>
      <c r="P41" s="84" t="str">
        <f t="shared" si="1"/>
        <v/>
      </c>
    </row>
    <row r="42" spans="1:16" s="78" customFormat="1" ht="18" customHeight="1" thickBot="1">
      <c r="A42" s="193"/>
      <c r="B42" s="89" t="s">
        <v>223</v>
      </c>
      <c r="C42" s="90"/>
      <c r="D42" s="90">
        <f ca="1">-217.1*OFFSET(D$113,MATCH($N$1,$C$113:$C$114,0)-1,0)</f>
        <v>-217.1</v>
      </c>
      <c r="E42" s="90">
        <f ca="1">-244.8*OFFSET(E$113,MATCH($N$1,$C$113:$C$114,0)-1,0)</f>
        <v>-244.8</v>
      </c>
      <c r="F42" s="90">
        <f ca="1">-273.7*OFFSET(F$113,MATCH($N$1,$C$113:$C$114,0)-1,0)</f>
        <v>-273.7</v>
      </c>
      <c r="G42" s="90">
        <f ca="1">-140.8*OFFSET(G$113,MATCH($N$1,$C$113:$C$114,0)-1,0)</f>
        <v>-140.80000000000001</v>
      </c>
      <c r="H42" s="90">
        <f ca="1">-9.8*OFFSET(H$113,MATCH($N$1,$C$113:$C$114,0)-1,0)</f>
        <v>-9.8000000000000007</v>
      </c>
      <c r="I42" s="90"/>
      <c r="J42" s="90">
        <f ca="1">-498.6*OFFSET(J$113,MATCH($N$1,$C$113:$C$114,0)-1,0)</f>
        <v>-498.6</v>
      </c>
      <c r="K42" s="90"/>
      <c r="L42" s="90"/>
      <c r="M42" s="90"/>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157</v>
      </c>
      <c r="G47" s="99" t="s">
        <v>157</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North Sea beam trawl over 300kW</v>
      </c>
      <c r="C49" s="101"/>
      <c r="D49" s="101"/>
      <c r="E49" s="101"/>
      <c r="F49" s="101"/>
      <c r="G49" s="101"/>
      <c r="K49" s="101" t="str">
        <f>$B25&amp;CHAR(10)&amp;$A$1</f>
        <v>Operating profit per kW day at sea (£)
North Sea beam trawl over 300kW</v>
      </c>
    </row>
    <row r="50" spans="1:11" s="78" customFormat="1">
      <c r="A50" s="101" t="str">
        <f>$B23&amp;CHAR(10)&amp;$A$1</f>
        <v>Fishing income per kW day at sea (£)
North Sea beam trawl over 300kW</v>
      </c>
    </row>
    <row r="51" spans="1:11" s="78" customFormat="1">
      <c r="A51" s="101" t="str">
        <f>$B21&amp;CHAR(10)&amp;$A$1</f>
        <v>Average price per tonne landed (£)
North Sea beam trawl over 300kW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North Sea beam trawl over 300kW</v>
      </c>
      <c r="F63" s="101" t="str">
        <f>$B21&amp;CHAR(10)&amp;$A$1</f>
        <v>Average price per tonne landed (£)
North Sea beam trawl over 300kW</v>
      </c>
      <c r="K63" s="101" t="str">
        <f>"Average annual operating profit per vessel (£'000)"&amp;CHAR(10)&amp;$A$1</f>
        <v>Average annual operating profit per vessel (£'000)
North Sea beam trawl over 300kW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North Sea beam trawl over 300kW</v>
      </c>
      <c r="F77" s="101" t="str">
        <f>"Top 5 landed species by value in "&amp;A78&amp;CHAR(10)&amp;A1</f>
        <v>Top 5 landed species by value in 2021
North Sea beam trawl over 300kW</v>
      </c>
    </row>
    <row r="78" spans="1:11" s="101" customFormat="1">
      <c r="A78" s="101">
        <v>2021</v>
      </c>
      <c r="B78" s="101" t="s">
        <v>398</v>
      </c>
      <c r="C78" s="102">
        <v>0.59879383129007246</v>
      </c>
      <c r="D78" s="103">
        <v>12153634</v>
      </c>
      <c r="G78" s="101" t="s">
        <v>399</v>
      </c>
      <c r="H78" s="102">
        <v>0.42004647977272513</v>
      </c>
      <c r="I78" s="103">
        <v>12153634</v>
      </c>
      <c r="K78" s="101" t="s">
        <v>237</v>
      </c>
    </row>
    <row r="79" spans="1:11" s="101" customFormat="1">
      <c r="B79" s="101" t="s">
        <v>400</v>
      </c>
      <c r="C79" s="102">
        <v>0.13772121117810315</v>
      </c>
      <c r="D79" s="103">
        <v>553960</v>
      </c>
      <c r="G79" s="101" t="s">
        <v>401</v>
      </c>
      <c r="H79" s="102">
        <v>0.22497771241072342</v>
      </c>
      <c r="I79" s="103">
        <v>553960</v>
      </c>
    </row>
    <row r="80" spans="1:11" s="101" customFormat="1">
      <c r="B80" s="101" t="s">
        <v>402</v>
      </c>
      <c r="C80" s="102">
        <v>8.4791214446456042E-2</v>
      </c>
      <c r="D80" s="103">
        <v>3050596</v>
      </c>
      <c r="G80" s="101" t="s">
        <v>403</v>
      </c>
      <c r="H80" s="102">
        <v>0.17761457810310499</v>
      </c>
      <c r="I80" s="103">
        <v>3050596</v>
      </c>
    </row>
    <row r="81" spans="1:19" s="101" customFormat="1">
      <c r="B81" s="101" t="s">
        <v>404</v>
      </c>
      <c r="C81" s="102">
        <v>3.8482911809464393E-2</v>
      </c>
      <c r="D81" s="103">
        <v>11115023</v>
      </c>
      <c r="G81" s="101" t="s">
        <v>405</v>
      </c>
      <c r="H81" s="102">
        <v>4.6334068998821698E-2</v>
      </c>
      <c r="I81" s="103">
        <v>1692097</v>
      </c>
    </row>
    <row r="82" spans="1:19" s="101" customFormat="1">
      <c r="B82" s="101" t="s">
        <v>406</v>
      </c>
      <c r="C82" s="102">
        <v>3.1087261510497753E-2</v>
      </c>
      <c r="D82" s="103">
        <v>2480382</v>
      </c>
      <c r="G82" s="101" t="s">
        <v>407</v>
      </c>
      <c r="H82" s="102">
        <v>3.4082395864344424E-2</v>
      </c>
      <c r="I82" s="103">
        <v>3689192</v>
      </c>
    </row>
    <row r="83" spans="1:19" s="101" customFormat="1">
      <c r="B83" s="101" t="s">
        <v>408</v>
      </c>
      <c r="C83" s="102">
        <v>0.10912356976540616</v>
      </c>
      <c r="D83" s="103">
        <v>5920853</v>
      </c>
      <c r="G83" s="101" t="s">
        <v>409</v>
      </c>
      <c r="H83" s="102">
        <v>9.6944764850280252E-2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169</v>
      </c>
      <c r="D93" s="107">
        <v>0.60728518412264054</v>
      </c>
      <c r="E93" s="107">
        <v>0.56732239820548225</v>
      </c>
      <c r="F93" s="107">
        <v>0.61144307623912608</v>
      </c>
      <c r="G93" s="107">
        <v>0.63293284724302268</v>
      </c>
      <c r="H93" s="107">
        <v>0.63439816504212332</v>
      </c>
      <c r="I93" s="107">
        <v>0.58373818731099447</v>
      </c>
      <c r="J93" s="107">
        <v>0.6141269076027156</v>
      </c>
      <c r="K93" s="107">
        <v>0.43528160498768631</v>
      </c>
      <c r="L93" s="107">
        <v>0.42004647977272513</v>
      </c>
      <c r="M93" s="107">
        <v>0.47001788546439688</v>
      </c>
      <c r="O93" s="101">
        <v>12153634</v>
      </c>
    </row>
    <row r="94" spans="1:19" s="101" customFormat="1" hidden="1">
      <c r="B94" s="101">
        <v>2</v>
      </c>
      <c r="C94" s="101" t="s">
        <v>175</v>
      </c>
      <c r="D94" s="107">
        <v>0.21436602156158507</v>
      </c>
      <c r="E94" s="107">
        <v>0.24871472857069629</v>
      </c>
      <c r="F94" s="107">
        <v>0.24349591157324815</v>
      </c>
      <c r="G94" s="107">
        <v>0.21805967263001569</v>
      </c>
      <c r="H94" s="107">
        <v>0.18655787896255713</v>
      </c>
      <c r="I94" s="107">
        <v>0.21201163599933345</v>
      </c>
      <c r="J94" s="107">
        <v>0.1870710277959243</v>
      </c>
      <c r="K94" s="107">
        <v>0.36271002115656137</v>
      </c>
      <c r="L94" s="107">
        <v>0.22497771241072342</v>
      </c>
      <c r="M94" s="107">
        <v>0.25215862113304977</v>
      </c>
      <c r="O94" s="101">
        <v>553960</v>
      </c>
    </row>
    <row r="95" spans="1:19" s="101" customFormat="1" hidden="1">
      <c r="B95" s="101">
        <v>3</v>
      </c>
      <c r="C95" s="101" t="s">
        <v>294</v>
      </c>
      <c r="D95" s="107">
        <v>9.1265225932750729E-2</v>
      </c>
      <c r="E95" s="107">
        <v>9.8087758821706089E-2</v>
      </c>
      <c r="F95" s="107">
        <v>6.7248349211095654E-2</v>
      </c>
      <c r="G95" s="107">
        <v>6.955067855115396E-2</v>
      </c>
      <c r="H95" s="107">
        <v>8.6559870628693455E-2</v>
      </c>
      <c r="I95" s="107">
        <v>0.1053274513389376</v>
      </c>
      <c r="J95" s="107">
        <v>0.10769860192298364</v>
      </c>
      <c r="K95" s="107">
        <v>0.10449844584644039</v>
      </c>
      <c r="L95" s="107">
        <v>0.17761457810310499</v>
      </c>
      <c r="M95" s="107">
        <v>0.17150744596593934</v>
      </c>
      <c r="O95" s="101">
        <v>3050596</v>
      </c>
    </row>
    <row r="96" spans="1:19" s="101" customFormat="1" hidden="1">
      <c r="B96" s="101">
        <v>4</v>
      </c>
      <c r="C96" s="101" t="s">
        <v>174</v>
      </c>
      <c r="D96" s="107"/>
      <c r="E96" s="107"/>
      <c r="F96" s="107"/>
      <c r="G96" s="107"/>
      <c r="H96" s="107"/>
      <c r="I96" s="107"/>
      <c r="J96" s="107"/>
      <c r="K96" s="107"/>
      <c r="L96" s="107">
        <v>4.6334068998821698E-2</v>
      </c>
      <c r="M96" s="107">
        <v>1.6082418003261153E-2</v>
      </c>
      <c r="O96" s="101">
        <v>1692097</v>
      </c>
    </row>
    <row r="97" spans="1:15" s="101" customFormat="1" hidden="1">
      <c r="B97" s="101">
        <v>5</v>
      </c>
      <c r="C97" s="101" t="s">
        <v>295</v>
      </c>
      <c r="D97" s="107">
        <v>2.68597304623709E-2</v>
      </c>
      <c r="E97" s="107">
        <v>2.9303678645102822E-2</v>
      </c>
      <c r="F97" s="107">
        <v>2.2720030122114532E-2</v>
      </c>
      <c r="G97" s="107">
        <v>2.5131648097849523E-2</v>
      </c>
      <c r="H97" s="107">
        <v>2.8697118974809314E-2</v>
      </c>
      <c r="I97" s="107">
        <v>3.0585245774404385E-2</v>
      </c>
      <c r="J97" s="107">
        <v>2.4169951874121569E-2</v>
      </c>
      <c r="K97" s="107">
        <v>2.9826659821406792E-2</v>
      </c>
      <c r="L97" s="107">
        <v>3.4082395864344424E-2</v>
      </c>
      <c r="M97" s="107">
        <v>2.9925640057642117E-2</v>
      </c>
      <c r="O97" s="101">
        <v>3689192</v>
      </c>
    </row>
    <row r="98" spans="1:15" s="101" customFormat="1" hidden="1">
      <c r="B98" s="101">
        <v>6</v>
      </c>
      <c r="C98" s="101" t="s">
        <v>410</v>
      </c>
      <c r="D98" s="107"/>
      <c r="E98" s="107"/>
      <c r="F98" s="107"/>
      <c r="G98" s="107"/>
      <c r="H98" s="107"/>
      <c r="I98" s="107"/>
      <c r="J98" s="107"/>
      <c r="K98" s="107">
        <v>1.4082250243314451E-2</v>
      </c>
      <c r="L98" s="107"/>
      <c r="M98" s="107"/>
      <c r="O98" s="101">
        <v>11115023</v>
      </c>
    </row>
    <row r="99" spans="1:15" s="101" customFormat="1" hidden="1">
      <c r="B99" s="101">
        <v>7</v>
      </c>
      <c r="C99" s="101" t="s">
        <v>162</v>
      </c>
      <c r="D99" s="107">
        <v>2.263898476694105E-2</v>
      </c>
      <c r="E99" s="107">
        <v>2.5202441287532809E-2</v>
      </c>
      <c r="F99" s="107">
        <v>2.7082498270080774E-2</v>
      </c>
      <c r="G99" s="107">
        <v>2.3040893473712232E-2</v>
      </c>
      <c r="H99" s="107">
        <v>2.9373136056131715E-2</v>
      </c>
      <c r="I99" s="107">
        <v>2.1025521728858163E-2</v>
      </c>
      <c r="J99" s="107">
        <v>1.9426674001319373E-2</v>
      </c>
      <c r="K99" s="107"/>
      <c r="L99" s="107"/>
      <c r="M99" s="107"/>
      <c r="O99" s="101">
        <v>2480382</v>
      </c>
    </row>
    <row r="100" spans="1:15" s="101" customFormat="1" hidden="1">
      <c r="B100" s="101">
        <v>8</v>
      </c>
      <c r="C100" s="101" t="s">
        <v>251</v>
      </c>
      <c r="D100" s="107">
        <v>3.7584853153711691E-2</v>
      </c>
      <c r="E100" s="107">
        <v>3.1368994469479793E-2</v>
      </c>
      <c r="F100" s="107">
        <v>2.8010134584334784E-2</v>
      </c>
      <c r="G100" s="107">
        <v>3.1284260004245903E-2</v>
      </c>
      <c r="H100" s="107">
        <v>3.4413830335685028E-2</v>
      </c>
      <c r="I100" s="107">
        <v>4.7311957847471942E-2</v>
      </c>
      <c r="J100" s="107">
        <v>4.7506836802935527E-2</v>
      </c>
      <c r="K100" s="107">
        <v>5.3601017944590684E-2</v>
      </c>
      <c r="L100" s="107">
        <v>9.6944764850280321E-2</v>
      </c>
      <c r="M100" s="107">
        <v>6.0307989375710712E-2</v>
      </c>
      <c r="O100" s="101">
        <v>5920853</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9</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t="s">
        <v>259</v>
      </c>
      <c r="D121" s="52" t="s">
        <v>259</v>
      </c>
      <c r="E121" s="52" t="s">
        <v>259</v>
      </c>
      <c r="F121" s="53">
        <v>5</v>
      </c>
    </row>
    <row r="122" spans="1:15" ht="18" customHeight="1">
      <c r="A122" s="186" t="s">
        <v>198</v>
      </c>
      <c r="B122" s="35" t="s">
        <v>199</v>
      </c>
      <c r="C122" s="54"/>
      <c r="D122" s="54"/>
      <c r="E122" s="54"/>
      <c r="F122" s="55">
        <v>42.352001190185547</v>
      </c>
    </row>
    <row r="123" spans="1:15" ht="18" customHeight="1">
      <c r="A123" s="187"/>
      <c r="B123" s="37" t="s">
        <v>190</v>
      </c>
      <c r="C123" s="56"/>
      <c r="D123" s="56"/>
      <c r="E123" s="56"/>
      <c r="F123" s="57">
        <v>1482.4000244140625</v>
      </c>
    </row>
    <row r="124" spans="1:15" ht="18" customHeight="1">
      <c r="A124" s="187"/>
      <c r="B124" s="37" t="s">
        <v>191</v>
      </c>
      <c r="C124" s="56"/>
      <c r="D124" s="56"/>
      <c r="E124" s="56"/>
      <c r="F124" s="57">
        <v>502.20001220703125</v>
      </c>
    </row>
    <row r="125" spans="1:15" ht="18" customHeight="1">
      <c r="A125" s="187"/>
      <c r="B125" s="37" t="s">
        <v>192</v>
      </c>
      <c r="C125" s="56"/>
      <c r="D125" s="56"/>
      <c r="E125" s="56"/>
      <c r="F125" s="57">
        <v>1044.011962890625</v>
      </c>
    </row>
    <row r="126" spans="1:15" ht="18" customHeight="1">
      <c r="A126" s="187"/>
      <c r="B126" s="37" t="s">
        <v>193</v>
      </c>
      <c r="C126" s="33"/>
      <c r="D126" s="33"/>
      <c r="E126" s="33"/>
      <c r="F126" s="58">
        <v>406.65789794921875</v>
      </c>
    </row>
    <row r="127" spans="1:15" ht="18" customHeight="1">
      <c r="A127" s="187"/>
      <c r="B127" s="37" t="s">
        <v>200</v>
      </c>
      <c r="C127" s="33"/>
      <c r="D127" s="33"/>
      <c r="E127" s="33"/>
      <c r="F127" s="58">
        <f ca="1">520.32015625*OFFSET($L$113,MATCH($N$1,$C$113:$C$114,0)-1,0)</f>
        <v>520.32015624999997</v>
      </c>
    </row>
    <row r="128" spans="1:15" ht="18" customHeight="1">
      <c r="A128" s="187"/>
      <c r="B128" s="37" t="s">
        <v>195</v>
      </c>
      <c r="C128" s="56"/>
      <c r="D128" s="56"/>
      <c r="E128" s="56"/>
      <c r="F128" s="57">
        <v>245</v>
      </c>
    </row>
    <row r="129" spans="1:15" ht="18" customHeight="1">
      <c r="A129" s="187"/>
      <c r="B129" s="37" t="s">
        <v>201</v>
      </c>
      <c r="C129" s="56"/>
      <c r="D129" s="56"/>
      <c r="E129" s="56"/>
      <c r="F129" s="57">
        <v>30.399999618530273</v>
      </c>
    </row>
    <row r="130" spans="1:15" ht="18" customHeight="1">
      <c r="A130" s="187"/>
      <c r="B130" s="37" t="s">
        <v>202</v>
      </c>
      <c r="C130" s="59"/>
      <c r="D130" s="59"/>
      <c r="E130" s="59"/>
      <c r="F130" s="60">
        <v>1.6598281860351563</v>
      </c>
    </row>
    <row r="131" spans="1:15" ht="18" customHeight="1">
      <c r="A131" s="188"/>
      <c r="B131" s="39" t="s">
        <v>203</v>
      </c>
      <c r="C131" s="40"/>
      <c r="D131" s="40"/>
      <c r="E131" s="40"/>
      <c r="F131" s="61">
        <f ca="1">1280*OFFSET($L$113,MATCH($N$1,$C$113:$C$114,0)-1,0)</f>
        <v>1280</v>
      </c>
    </row>
    <row r="132" spans="1:15" ht="18" customHeight="1">
      <c r="A132" s="198" t="s">
        <v>204</v>
      </c>
      <c r="B132" s="35" t="s">
        <v>205</v>
      </c>
      <c r="C132" s="62"/>
      <c r="D132" s="62"/>
      <c r="E132" s="62"/>
      <c r="F132" s="63">
        <v>1.1211357339286796</v>
      </c>
    </row>
    <row r="133" spans="1:15" ht="18" customHeight="1">
      <c r="A133" s="199"/>
      <c r="B133" s="37" t="s">
        <v>206</v>
      </c>
      <c r="C133" s="59"/>
      <c r="D133" s="59"/>
      <c r="E133" s="59"/>
      <c r="F133" s="60">
        <f ca="1">1.43449696464047*OFFSET($L$113,MATCH($N$1,$C$113:$C$114,0)-1,0)</f>
        <v>1.4344969646404699</v>
      </c>
    </row>
    <row r="134" spans="1:15" ht="18" customHeight="1">
      <c r="A134" s="199"/>
      <c r="B134" s="37" t="s">
        <v>153</v>
      </c>
      <c r="C134" s="59"/>
      <c r="D134" s="59"/>
      <c r="E134" s="59"/>
      <c r="F134" s="60">
        <f ca="1">3.01971357523335*OFFSET($L$113,MATCH($N$1,$C$113:$C$114,0)-1,0)</f>
        <v>3.0197135752333502</v>
      </c>
    </row>
    <row r="135" spans="1:15" ht="18" customHeight="1">
      <c r="A135" s="200"/>
      <c r="B135" s="39" t="s">
        <v>154</v>
      </c>
      <c r="C135" s="64"/>
      <c r="D135" s="64"/>
      <c r="E135" s="64"/>
      <c r="F135" s="65">
        <f ca="1">-1.58521661059288*OFFSET($L$113,MATCH($N$1,$C$113:$C$114,0)-1,0)</f>
        <v>-1.58521661059288</v>
      </c>
    </row>
    <row r="136" spans="1:15" ht="18" customHeight="1">
      <c r="A136" s="201" t="s">
        <v>260</v>
      </c>
      <c r="B136" s="37" t="s">
        <v>261</v>
      </c>
      <c r="C136" s="66"/>
      <c r="D136" s="66"/>
      <c r="E136" s="66"/>
      <c r="F136" s="67">
        <f ca="1">760.155*OFFSET($L$113,MATCH($N$1,$C$113:$C$114,0)-1,0)</f>
        <v>760.15499999999997</v>
      </c>
    </row>
    <row r="137" spans="1:15" ht="18" customHeight="1">
      <c r="A137" s="202"/>
      <c r="B137" s="37" t="s">
        <v>262</v>
      </c>
      <c r="C137" s="31"/>
      <c r="D137" s="31"/>
      <c r="E137" s="31"/>
      <c r="F137" s="68">
        <v>1592500</v>
      </c>
    </row>
    <row r="138" spans="1:15" ht="18" customHeight="1">
      <c r="A138" s="202"/>
      <c r="B138" s="37" t="s">
        <v>263</v>
      </c>
      <c r="C138" s="31"/>
      <c r="D138" s="31"/>
      <c r="E138" s="31"/>
      <c r="F138" s="68">
        <v>6500</v>
      </c>
    </row>
    <row r="139" spans="1:15" ht="18" customHeight="1">
      <c r="A139" s="202"/>
      <c r="B139" s="37" t="s">
        <v>264</v>
      </c>
      <c r="C139" s="31"/>
      <c r="D139" s="31"/>
      <c r="E139" s="31"/>
      <c r="F139" s="68">
        <f ca="1">3102.67346938776*OFFSET($L$113,MATCH($N$1,$C$113:$C$114,0)-1,0)</f>
        <v>3102.6734693877602</v>
      </c>
      <c r="I139" s="43"/>
      <c r="L139" s="69" t="str">
        <f>C120</f>
        <v>Most
profitable
quartile</v>
      </c>
      <c r="M139" s="69" t="str">
        <f>D120</f>
        <v>Middle
two quartiles</v>
      </c>
      <c r="N139" s="69" t="str">
        <f>E120</f>
        <v>Least
profitable
quartile</v>
      </c>
      <c r="O139" s="69"/>
    </row>
    <row r="140" spans="1:15" ht="18" customHeight="1">
      <c r="A140" s="202"/>
      <c r="B140" s="37" t="s">
        <v>265</v>
      </c>
      <c r="C140" s="31"/>
      <c r="D140" s="31"/>
      <c r="E140" s="31"/>
      <c r="F140" s="68">
        <f ca="1">1869.27391262649*OFFSET($L$113,MATCH($N$1,$C$113:$C$114,0)-1,0)</f>
        <v>1869.2739126264901</v>
      </c>
      <c r="I140" s="43"/>
      <c r="K140" s="69" t="s">
        <v>266</v>
      </c>
      <c r="L140" s="70">
        <f t="shared" ref="L140:M142" si="2">C141</f>
        <v>0</v>
      </c>
      <c r="M140" s="70">
        <f t="shared" si="2"/>
        <v>0</v>
      </c>
      <c r="N140" s="70">
        <f>E141</f>
        <v>0</v>
      </c>
      <c r="O140" s="70"/>
    </row>
    <row r="141" spans="1:15" ht="18" customHeight="1">
      <c r="A141" s="179" t="s">
        <v>267</v>
      </c>
      <c r="B141" s="35" t="s">
        <v>268</v>
      </c>
      <c r="C141" s="71"/>
      <c r="D141" s="71"/>
      <c r="E141" s="71"/>
      <c r="F141" s="72">
        <f ca="1">536.1873125*OFFSET($L$113,MATCH($N$1,$C$113:$C$114,0)-1,0)</f>
        <v>536.18731249999996</v>
      </c>
      <c r="I141" s="43"/>
      <c r="K141" s="69" t="s">
        <v>269</v>
      </c>
      <c r="L141" s="70">
        <f t="shared" si="2"/>
        <v>0</v>
      </c>
      <c r="M141" s="70">
        <f t="shared" si="2"/>
        <v>0</v>
      </c>
      <c r="N141" s="70">
        <f>E142</f>
        <v>0</v>
      </c>
      <c r="O141" s="70"/>
    </row>
    <row r="142" spans="1:15" ht="18" customHeight="1">
      <c r="A142" s="180"/>
      <c r="B142" s="37" t="s">
        <v>270</v>
      </c>
      <c r="C142" s="31"/>
      <c r="D142" s="31"/>
      <c r="E142" s="31"/>
      <c r="F142" s="68">
        <f ca="1">1111.1765*OFFSET($L$113,MATCH($N$1,$C$113:$C$114,0)-1,0)</f>
        <v>1111.1765</v>
      </c>
      <c r="I142" s="43"/>
      <c r="K142" s="69" t="s">
        <v>271</v>
      </c>
      <c r="L142" s="70">
        <f t="shared" si="2"/>
        <v>0</v>
      </c>
      <c r="M142" s="70">
        <f t="shared" si="2"/>
        <v>0</v>
      </c>
      <c r="N142" s="70">
        <f>E143</f>
        <v>0</v>
      </c>
      <c r="O142" s="70"/>
    </row>
    <row r="143" spans="1:15" ht="18" customHeight="1">
      <c r="A143" s="181"/>
      <c r="B143" s="39" t="s">
        <v>272</v>
      </c>
      <c r="C143" s="40"/>
      <c r="D143" s="40"/>
      <c r="E143" s="40"/>
      <c r="F143" s="61">
        <f ca="1">-574.989125*OFFSET($L$113,MATCH($N$1,$C$113:$C$114,0)-1,0)</f>
        <v>-574.98912499999994</v>
      </c>
      <c r="I143" s="43"/>
      <c r="K143" s="69" t="s">
        <v>273</v>
      </c>
      <c r="L143" s="73" t="str">
        <f>IFERROR(L141/L$140,"")</f>
        <v/>
      </c>
      <c r="M143" s="73" t="str">
        <f t="shared" ref="M143:N144" si="3">IFERROR(M141/M$140,"")</f>
        <v/>
      </c>
      <c r="N143" s="73" t="str">
        <f t="shared" si="3"/>
        <v/>
      </c>
      <c r="O143" s="73"/>
    </row>
    <row r="144" spans="1:15" ht="18" customHeight="1">
      <c r="I144" s="43"/>
      <c r="K144" s="69" t="s">
        <v>274</v>
      </c>
      <c r="L144" s="73" t="str">
        <f>IFERROR(L142/L$140,"")</f>
        <v/>
      </c>
      <c r="M144" s="73" t="str">
        <f t="shared" si="3"/>
        <v/>
      </c>
      <c r="N144" s="73" t="str">
        <f t="shared" si="3"/>
        <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8</v>
      </c>
      <c r="H162" s="74"/>
      <c r="I162" s="74" t="s">
        <v>255</v>
      </c>
      <c r="J162" s="74" t="s">
        <v>276</v>
      </c>
      <c r="K162" s="74" t="s">
        <v>257</v>
      </c>
      <c r="L162" s="48" t="s">
        <v>277</v>
      </c>
      <c r="R162" s="21"/>
      <c r="S162" s="21"/>
    </row>
    <row r="163" spans="1:19" s="43" customFormat="1">
      <c r="A163" s="44">
        <v>1</v>
      </c>
      <c r="B163" s="48" t="s">
        <v>169</v>
      </c>
      <c r="C163" s="48">
        <v>0</v>
      </c>
      <c r="D163" s="48">
        <v>0</v>
      </c>
      <c r="E163" s="48">
        <v>0</v>
      </c>
      <c r="F163" s="44">
        <v>12153634</v>
      </c>
      <c r="G163" s="44">
        <v>1</v>
      </c>
      <c r="H163" s="48" t="s">
        <v>169</v>
      </c>
      <c r="I163" s="48">
        <v>0</v>
      </c>
      <c r="J163" s="48">
        <v>0</v>
      </c>
      <c r="K163" s="48">
        <v>0</v>
      </c>
      <c r="L163" s="44">
        <v>12153634</v>
      </c>
      <c r="R163" s="21"/>
      <c r="S163" s="21"/>
    </row>
    <row r="164" spans="1:19" s="43" customFormat="1">
      <c r="A164" s="44">
        <v>2</v>
      </c>
      <c r="B164" s="48" t="s">
        <v>175</v>
      </c>
      <c r="C164" s="48">
        <v>0</v>
      </c>
      <c r="D164" s="48">
        <v>0</v>
      </c>
      <c r="E164" s="48">
        <v>0</v>
      </c>
      <c r="F164" s="44">
        <v>553960</v>
      </c>
      <c r="G164" s="44">
        <v>2</v>
      </c>
      <c r="H164" s="48" t="s">
        <v>175</v>
      </c>
      <c r="I164" s="48">
        <v>0</v>
      </c>
      <c r="J164" s="48">
        <v>0</v>
      </c>
      <c r="K164" s="48">
        <v>0</v>
      </c>
      <c r="L164" s="44">
        <v>553960</v>
      </c>
      <c r="N164" s="43" t="s">
        <v>278</v>
      </c>
      <c r="R164" s="21"/>
      <c r="S164" s="21"/>
    </row>
    <row r="165" spans="1:19" s="43" customFormat="1">
      <c r="A165" s="44">
        <v>3</v>
      </c>
      <c r="B165" s="48" t="s">
        <v>294</v>
      </c>
      <c r="C165" s="48">
        <v>0</v>
      </c>
      <c r="D165" s="48">
        <v>0</v>
      </c>
      <c r="E165" s="48">
        <v>0</v>
      </c>
      <c r="F165" s="44">
        <v>3050596</v>
      </c>
      <c r="G165" s="44">
        <v>3</v>
      </c>
      <c r="H165" s="48" t="s">
        <v>294</v>
      </c>
      <c r="I165" s="48">
        <v>0</v>
      </c>
      <c r="J165" s="48">
        <v>0</v>
      </c>
      <c r="K165" s="48">
        <v>0</v>
      </c>
      <c r="L165" s="44">
        <v>3050596</v>
      </c>
      <c r="N165" s="43" t="s">
        <v>279</v>
      </c>
      <c r="R165" s="21"/>
      <c r="S165" s="21"/>
    </row>
    <row r="166" spans="1:19" s="43" customFormat="1">
      <c r="A166" s="44">
        <v>4</v>
      </c>
      <c r="B166" s="48" t="s">
        <v>250</v>
      </c>
      <c r="C166" s="48">
        <v>0</v>
      </c>
      <c r="D166" s="48">
        <v>0</v>
      </c>
      <c r="E166" s="48">
        <v>0</v>
      </c>
      <c r="F166" s="44">
        <v>2480382</v>
      </c>
      <c r="G166" s="44">
        <v>4</v>
      </c>
      <c r="H166" s="48" t="s">
        <v>174</v>
      </c>
      <c r="I166" s="48">
        <v>0</v>
      </c>
      <c r="J166" s="48">
        <v>0</v>
      </c>
      <c r="K166" s="48">
        <v>0</v>
      </c>
      <c r="L166" s="44">
        <v>1692097</v>
      </c>
      <c r="R166" s="21"/>
      <c r="S166" s="21"/>
    </row>
    <row r="167" spans="1:19" s="43" customFormat="1">
      <c r="A167" s="44">
        <v>5</v>
      </c>
      <c r="B167" s="48" t="s">
        <v>410</v>
      </c>
      <c r="C167" s="48">
        <v>0</v>
      </c>
      <c r="D167" s="48">
        <v>0</v>
      </c>
      <c r="E167" s="48">
        <v>0</v>
      </c>
      <c r="F167" s="44">
        <v>11115023</v>
      </c>
      <c r="G167" s="44">
        <v>5</v>
      </c>
      <c r="H167" s="48" t="s">
        <v>295</v>
      </c>
      <c r="I167" s="48">
        <v>0</v>
      </c>
      <c r="J167" s="48">
        <v>0</v>
      </c>
      <c r="K167" s="48">
        <v>0</v>
      </c>
      <c r="L167" s="44">
        <v>3689192</v>
      </c>
      <c r="R167" s="21"/>
      <c r="S167" s="21"/>
    </row>
    <row r="168" spans="1:19" s="43" customFormat="1">
      <c r="A168" s="44">
        <v>6</v>
      </c>
      <c r="B168" s="48" t="s">
        <v>174</v>
      </c>
      <c r="C168" s="48">
        <v>0</v>
      </c>
      <c r="D168" s="48">
        <v>0</v>
      </c>
      <c r="E168" s="48">
        <v>0</v>
      </c>
      <c r="F168" s="44">
        <v>1692097</v>
      </c>
      <c r="G168" s="44">
        <v>6</v>
      </c>
      <c r="H168" s="48" t="s">
        <v>410</v>
      </c>
      <c r="I168" s="48">
        <v>0</v>
      </c>
      <c r="J168" s="48">
        <v>0</v>
      </c>
      <c r="K168" s="48">
        <v>0</v>
      </c>
      <c r="L168" s="44">
        <v>11115023</v>
      </c>
      <c r="R168" s="21"/>
      <c r="S168" s="21"/>
    </row>
    <row r="169" spans="1:19" s="43" customFormat="1">
      <c r="A169" s="44">
        <v>7</v>
      </c>
      <c r="B169" s="48" t="s">
        <v>162</v>
      </c>
      <c r="C169" s="48">
        <v>0</v>
      </c>
      <c r="D169" s="48">
        <v>0</v>
      </c>
      <c r="E169" s="48">
        <v>0</v>
      </c>
      <c r="F169" s="44">
        <v>7434864</v>
      </c>
      <c r="G169" s="44">
        <v>7</v>
      </c>
      <c r="H169" s="48" t="s">
        <v>251</v>
      </c>
      <c r="I169" s="48">
        <v>0</v>
      </c>
      <c r="J169" s="48">
        <v>0</v>
      </c>
      <c r="K169" s="48">
        <v>0</v>
      </c>
      <c r="L169" s="44">
        <v>5920853</v>
      </c>
      <c r="R169" s="21"/>
      <c r="S169" s="21"/>
    </row>
    <row r="170" spans="1:19" s="43" customFormat="1">
      <c r="A170" s="44">
        <v>8</v>
      </c>
      <c r="B170" s="48" t="s">
        <v>251</v>
      </c>
      <c r="C170" s="48">
        <v>0</v>
      </c>
      <c r="D170" s="48">
        <v>0</v>
      </c>
      <c r="E170" s="48">
        <v>0</v>
      </c>
      <c r="F170" s="44">
        <v>5920853</v>
      </c>
      <c r="G170" s="44">
        <v>8</v>
      </c>
      <c r="H170" s="48"/>
      <c r="I170" s="48">
        <v>0</v>
      </c>
      <c r="J170" s="48">
        <v>0</v>
      </c>
      <c r="K170" s="48">
        <v>0</v>
      </c>
      <c r="L170" s="44"/>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36D8A7FF-F91A-454B-8BF1-D3C4CF2D9DBA}">
      <formula1>$C$113:$C$114</formula1>
    </dataValidation>
  </dataValidations>
  <hyperlinks>
    <hyperlink ref="O1:P1" location="Home_page" display="Back to home page" xr:uid="{C105CA22-F479-40B7-B170-96FD4C9E47B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383241CB-3BEE-4FCB-8926-F03912CA79D7}">
          <x14:colorSeries rgb="FF323232"/>
          <x14:colorNegative rgb="FFD00000"/>
          <x14:colorAxis rgb="FF000000"/>
          <x14:colorMarkers rgb="FFD00000"/>
          <x14:colorFirst rgb="FFD00000"/>
          <x14:colorLast rgb="FFD00000"/>
          <x14:colorHigh rgb="FFD00000"/>
          <x14:colorLow rgb="FFD00000"/>
          <x14:sparklines>
            <x14:sparkline>
              <xm:f>'NS beam trawl over 300kW'!D3:N3</xm:f>
              <xm:sqref>C3</xm:sqref>
            </x14:sparkline>
            <x14:sparkline>
              <xm:f>'NS beam trawl over 300kW'!D4:N4</xm:f>
              <xm:sqref>C4</xm:sqref>
            </x14:sparkline>
            <x14:sparkline>
              <xm:f>'NS beam trawl over 300kW'!D5:N5</xm:f>
              <xm:sqref>C5</xm:sqref>
            </x14:sparkline>
            <x14:sparkline>
              <xm:f>'NS beam trawl over 300kW'!D6:N6</xm:f>
              <xm:sqref>C6</xm:sqref>
            </x14:sparkline>
            <x14:sparkline>
              <xm:f>'NS beam trawl over 300kW'!D7:N7</xm:f>
              <xm:sqref>C7</xm:sqref>
            </x14:sparkline>
            <x14:sparkline>
              <xm:f>'NS beam trawl over 300kW'!D8:N8</xm:f>
              <xm:sqref>C8</xm:sqref>
            </x14:sparkline>
            <x14:sparkline>
              <xm:f>'NS beam trawl over 300kW'!D9:N9</xm:f>
              <xm:sqref>C9</xm:sqref>
            </x14:sparkline>
            <x14:sparkline>
              <xm:f>'NS beam trawl over 300kW'!D10:N10</xm:f>
              <xm:sqref>C10</xm:sqref>
            </x14:sparkline>
            <x14:sparkline>
              <xm:f>'NS beam trawl over 300kW'!D11:N11</xm:f>
              <xm:sqref>C11</xm:sqref>
            </x14:sparkline>
            <x14:sparkline>
              <xm:f>'NS beam trawl over 300kW'!D12:N12</xm:f>
              <xm:sqref>C12</xm:sqref>
            </x14:sparkline>
            <x14:sparkline>
              <xm:f>'NS beam trawl over 300kW'!D13:N13</xm:f>
              <xm:sqref>C13</xm:sqref>
            </x14:sparkline>
            <x14:sparkline>
              <xm:f>'NS beam trawl over 300kW'!D14:N14</xm:f>
              <xm:sqref>C14</xm:sqref>
            </x14:sparkline>
            <x14:sparkline>
              <xm:f>'NS beam trawl over 300kW'!D15:N15</xm:f>
              <xm:sqref>C15</xm:sqref>
            </x14:sparkline>
            <x14:sparkline>
              <xm:f>'NS beam trawl over 300kW'!D16:N16</xm:f>
              <xm:sqref>C16</xm:sqref>
            </x14:sparkline>
            <x14:sparkline>
              <xm:f>'NS beam trawl over 300kW'!D17:N17</xm:f>
              <xm:sqref>C17</xm:sqref>
            </x14:sparkline>
            <x14:sparkline>
              <xm:f>'NS beam trawl over 300kW'!D18:N18</xm:f>
              <xm:sqref>C18</xm:sqref>
            </x14:sparkline>
            <x14:sparkline>
              <xm:f>'NS beam trawl over 300kW'!D19:N19</xm:f>
              <xm:sqref>C19</xm:sqref>
            </x14:sparkline>
            <x14:sparkline>
              <xm:f>'NS beam trawl over 300kW'!D20:N20</xm:f>
              <xm:sqref>C20</xm:sqref>
            </x14:sparkline>
            <x14:sparkline>
              <xm:f>'NS beam trawl over 300kW'!D21:N21</xm:f>
              <xm:sqref>C21</xm:sqref>
            </x14:sparkline>
            <x14:sparkline>
              <xm:f>'NS beam trawl over 300kW'!D22:N22</xm:f>
              <xm:sqref>C22</xm:sqref>
            </x14:sparkline>
            <x14:sparkline>
              <xm:f>'NS beam trawl over 300kW'!D23:N23</xm:f>
              <xm:sqref>C23</xm:sqref>
            </x14:sparkline>
            <x14:sparkline>
              <xm:f>'NS beam trawl over 300kW'!D24:N24</xm:f>
              <xm:sqref>C24</xm:sqref>
            </x14:sparkline>
            <x14:sparkline>
              <xm:f>'NS beam trawl over 300kW'!D25:N25</xm:f>
              <xm:sqref>C25</xm:sqref>
            </x14:sparkline>
            <x14:sparkline>
              <xm:f>'NS beam trawl over 300kW'!D26:N26</xm:f>
              <xm:sqref>C26</xm:sqref>
            </x14:sparkline>
            <x14:sparkline>
              <xm:f>'NS beam trawl over 300kW'!D27:N27</xm:f>
              <xm:sqref>C27</xm:sqref>
            </x14:sparkline>
            <x14:sparkline>
              <xm:f>'NS beam trawl over 300kW'!D28:N28</xm:f>
              <xm:sqref>C28</xm:sqref>
            </x14:sparkline>
            <x14:sparkline>
              <xm:f>'NS beam trawl over 300kW'!D29:N29</xm:f>
              <xm:sqref>C29</xm:sqref>
            </x14:sparkline>
            <x14:sparkline>
              <xm:f>'NS beam trawl over 300kW'!D30:N30</xm:f>
              <xm:sqref>C30</xm:sqref>
            </x14:sparkline>
            <x14:sparkline>
              <xm:f>'NS beam trawl over 300kW'!D31:N31</xm:f>
              <xm:sqref>C31</xm:sqref>
            </x14:sparkline>
            <x14:sparkline>
              <xm:f>'NS beam trawl over 300kW'!D32:N32</xm:f>
              <xm:sqref>C32</xm:sqref>
            </x14:sparkline>
            <x14:sparkline>
              <xm:f>'NS beam trawl over 300kW'!D33:N33</xm:f>
              <xm:sqref>C33</xm:sqref>
            </x14:sparkline>
            <x14:sparkline>
              <xm:f>'NS beam trawl over 300kW'!D34:N34</xm:f>
              <xm:sqref>C34</xm:sqref>
            </x14:sparkline>
            <x14:sparkline>
              <xm:f>'NS beam trawl over 300kW'!D35:N35</xm:f>
              <xm:sqref>C35</xm:sqref>
            </x14:sparkline>
            <x14:sparkline>
              <xm:f>'NS beam trawl over 300kW'!D36:N36</xm:f>
              <xm:sqref>C36</xm:sqref>
            </x14:sparkline>
            <x14:sparkline>
              <xm:f>'NS beam trawl over 300kW'!D37:N37</xm:f>
              <xm:sqref>C37</xm:sqref>
            </x14:sparkline>
            <x14:sparkline>
              <xm:f>'NS beam trawl over 300kW'!D38:N38</xm:f>
              <xm:sqref>C38</xm:sqref>
            </x14:sparkline>
            <x14:sparkline>
              <xm:f>'NS beam trawl over 300kW'!D39:N39</xm:f>
              <xm:sqref>C39</xm:sqref>
            </x14:sparkline>
            <x14:sparkline>
              <xm:f>'NS beam trawl over 300kW'!D40:N40</xm:f>
              <xm:sqref>C40</xm:sqref>
            </x14:sparkline>
            <x14:sparkline>
              <xm:f>'NS beam trawl over 300kW'!D41:N41</xm:f>
              <xm:sqref>C41</xm:sqref>
            </x14:sparkline>
            <x14:sparkline>
              <xm:f>'NS beam trawl over 300kW'!D42:N42</xm:f>
              <xm:sqref>C42</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988C-9086-4502-A546-F91D21020E9D}">
  <sheetPr codeName="Feuil18">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20</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25</v>
      </c>
      <c r="E3" s="28">
        <v>18</v>
      </c>
      <c r="F3" s="28">
        <v>20</v>
      </c>
      <c r="G3" s="28">
        <v>8</v>
      </c>
      <c r="H3" s="28">
        <v>22</v>
      </c>
      <c r="I3" s="28">
        <v>20</v>
      </c>
      <c r="J3" s="28">
        <v>22</v>
      </c>
      <c r="K3" s="28">
        <v>14</v>
      </c>
      <c r="L3" s="28">
        <v>20</v>
      </c>
      <c r="M3" s="28">
        <v>17</v>
      </c>
      <c r="N3" s="28">
        <v>16</v>
      </c>
      <c r="O3" s="29">
        <f t="shared" ref="O3:O42" si="0">IF(N3=0,"",IFERROR(IF(AND(N3&gt;0,D3&lt;0),"na",IF(AND(N3&lt;0,D3&lt;0),-1,1)*(N3-D3)/D3),""))</f>
        <v>-0.36</v>
      </c>
      <c r="P3" s="29">
        <f t="shared" ref="P3:P42" si="1">IF(N3=0,"",IFERROR(IF(AND(N3&gt;0,J3&lt;0),"na",IF(AND(N3&lt;0,J3&lt;0),-1,1)*(N3-J3)/J3),""))</f>
        <v>-0.27272727272727271</v>
      </c>
    </row>
    <row r="4" spans="1:17" ht="18" customHeight="1">
      <c r="A4" s="185"/>
      <c r="B4" s="30" t="s">
        <v>190</v>
      </c>
      <c r="C4" s="31"/>
      <c r="D4" s="31">
        <v>4552</v>
      </c>
      <c r="E4" s="31">
        <v>3423</v>
      </c>
      <c r="F4" s="31">
        <v>3780</v>
      </c>
      <c r="G4" s="31">
        <v>1643</v>
      </c>
      <c r="H4" s="31">
        <v>4182</v>
      </c>
      <c r="I4" s="31">
        <v>3839</v>
      </c>
      <c r="J4" s="31">
        <v>4255</v>
      </c>
      <c r="K4" s="31">
        <v>2789</v>
      </c>
      <c r="L4" s="31">
        <v>3824</v>
      </c>
      <c r="M4" s="31">
        <v>3348</v>
      </c>
      <c r="N4" s="31">
        <v>3165</v>
      </c>
      <c r="O4" s="29">
        <f t="shared" si="0"/>
        <v>-0.30470123022847101</v>
      </c>
      <c r="P4" s="29">
        <f t="shared" si="1"/>
        <v>-0.25616921269095183</v>
      </c>
    </row>
    <row r="5" spans="1:17" ht="18" customHeight="1">
      <c r="A5" s="185"/>
      <c r="B5" s="30" t="s">
        <v>191</v>
      </c>
      <c r="C5" s="31"/>
      <c r="D5" s="31">
        <v>601</v>
      </c>
      <c r="E5" s="31">
        <v>541</v>
      </c>
      <c r="F5" s="31">
        <v>525</v>
      </c>
      <c r="G5" s="31">
        <v>237</v>
      </c>
      <c r="H5" s="31">
        <v>586</v>
      </c>
      <c r="I5" s="31">
        <v>497</v>
      </c>
      <c r="J5" s="31">
        <v>539</v>
      </c>
      <c r="K5" s="31">
        <v>375</v>
      </c>
      <c r="L5" s="31">
        <v>486</v>
      </c>
      <c r="M5" s="31">
        <v>439</v>
      </c>
      <c r="N5" s="31">
        <v>421</v>
      </c>
      <c r="O5" s="29">
        <f t="shared" si="0"/>
        <v>-0.29950083194675542</v>
      </c>
      <c r="P5" s="29">
        <f t="shared" si="1"/>
        <v>-0.21892393320964751</v>
      </c>
      <c r="Q5" s="32"/>
    </row>
    <row r="6" spans="1:17" ht="18" customHeight="1">
      <c r="A6" s="185"/>
      <c r="B6" s="30" t="s">
        <v>192</v>
      </c>
      <c r="C6" s="31"/>
      <c r="D6" s="31">
        <v>3787.918212890625</v>
      </c>
      <c r="E6" s="31">
        <v>2964.882080078125</v>
      </c>
      <c r="F6" s="31">
        <v>3158.222900390625</v>
      </c>
      <c r="G6" s="31">
        <v>1356.519775390625</v>
      </c>
      <c r="H6" s="31">
        <v>3450.00048828125</v>
      </c>
      <c r="I6" s="31">
        <v>3126.47998046875</v>
      </c>
      <c r="J6" s="31">
        <v>3466.321533203125</v>
      </c>
      <c r="K6" s="31">
        <v>2304.69775390625</v>
      </c>
      <c r="L6" s="31">
        <v>3132.27978515625</v>
      </c>
      <c r="M6" s="31">
        <v>2750.017578125</v>
      </c>
      <c r="N6" s="31">
        <v>2604.771240234375</v>
      </c>
      <c r="O6" s="29">
        <f t="shared" si="0"/>
        <v>-0.31234754980450602</v>
      </c>
      <c r="P6" s="29">
        <f t="shared" si="1"/>
        <v>-0.24854886793280739</v>
      </c>
    </row>
    <row r="7" spans="1:17" ht="18" customHeight="1">
      <c r="A7" s="185"/>
      <c r="B7" s="30" t="s">
        <v>193</v>
      </c>
      <c r="C7" s="31"/>
      <c r="D7" s="31">
        <v>1628.461181640625</v>
      </c>
      <c r="E7" s="31">
        <v>1101.98291015625</v>
      </c>
      <c r="F7" s="31">
        <v>1413.343017578125</v>
      </c>
      <c r="G7" s="31">
        <v>661.0830078125</v>
      </c>
      <c r="H7" s="31">
        <v>816.9619140625</v>
      </c>
      <c r="I7" s="31">
        <v>472.38580322265625</v>
      </c>
      <c r="J7" s="31">
        <v>983.5885009765625</v>
      </c>
      <c r="K7" s="31">
        <v>358.70660400390625</v>
      </c>
      <c r="L7" s="31">
        <v>946.13458251953125</v>
      </c>
      <c r="M7" s="31">
        <v>413.46359252929688</v>
      </c>
      <c r="N7" s="31">
        <v>234.25729370117188</v>
      </c>
      <c r="O7" s="29">
        <f t="shared" si="0"/>
        <v>-0.85614806398690768</v>
      </c>
      <c r="P7" s="29">
        <f t="shared" si="1"/>
        <v>-0.76183404597696303</v>
      </c>
    </row>
    <row r="8" spans="1:17" ht="18" customHeight="1">
      <c r="A8" s="185"/>
      <c r="B8" s="30" t="s">
        <v>194</v>
      </c>
      <c r="C8" s="33"/>
      <c r="D8" s="33">
        <f ca="1">3.41386975*OFFSET(D$113,MATCH($N$1,$C$113:$C$114,0)-1,0)</f>
        <v>3.4138697499999999</v>
      </c>
      <c r="E8" s="33">
        <f ca="1">2.5457965*OFFSET(E$113,MATCH($N$1,$C$113:$C$114,0)-1,0)</f>
        <v>2.5457964999999998</v>
      </c>
      <c r="F8" s="33">
        <f ca="1">1.553062*OFFSET(F$113,MATCH($N$1,$C$113:$C$114,0)-1,0)</f>
        <v>1.5530619999999999</v>
      </c>
      <c r="G8" s="33">
        <f ca="1">0.9184185*OFFSET(G$113,MATCH($N$1,$C$113:$C$114,0)-1,0)</f>
        <v>0.91841850000000003</v>
      </c>
      <c r="H8" s="33">
        <f ca="1">2.80378975*OFFSET(H$113,MATCH($N$1,$C$113:$C$114,0)-1,0)</f>
        <v>2.80378975</v>
      </c>
      <c r="I8" s="33">
        <f ca="1">2.22571975*OFFSET(I$113,MATCH($N$1,$C$113:$C$114,0)-1,0)</f>
        <v>2.2257197500000001</v>
      </c>
      <c r="J8" s="33">
        <f ca="1">2.561381*OFFSET(J$113,MATCH($N$1,$C$113:$C$114,0)-1,0)</f>
        <v>2.5613809999999999</v>
      </c>
      <c r="K8" s="33">
        <f ca="1">0.7226025*OFFSET(K$113,MATCH($N$1,$C$113:$C$114,0)-1,0)</f>
        <v>0.72260250000000004</v>
      </c>
      <c r="L8" s="33">
        <f ca="1">2.0973055*OFFSET(L$113,MATCH($N$1,$C$113:$C$114,0)-1,0)</f>
        <v>2.0973055</v>
      </c>
      <c r="M8" s="33">
        <f ca="1">1.095496125*OFFSET(M$113,MATCH($N$1,$C$113:$C$114,0)-1,0)</f>
        <v>1.0954961249999999</v>
      </c>
      <c r="N8" s="33">
        <v>0.89495287499999998</v>
      </c>
      <c r="O8" s="29">
        <f t="shared" ca="1" si="0"/>
        <v>-0.7378479729638191</v>
      </c>
      <c r="P8" s="29">
        <f t="shared" ca="1" si="1"/>
        <v>-0.65059751946313338</v>
      </c>
    </row>
    <row r="9" spans="1:17" ht="18" customHeight="1">
      <c r="A9" s="185"/>
      <c r="B9" s="30" t="s">
        <v>195</v>
      </c>
      <c r="C9" s="31"/>
      <c r="D9" s="31">
        <v>2213</v>
      </c>
      <c r="E9" s="31">
        <v>2108</v>
      </c>
      <c r="F9" s="31">
        <v>2305</v>
      </c>
      <c r="G9" s="31">
        <v>958</v>
      </c>
      <c r="H9" s="31">
        <v>1899</v>
      </c>
      <c r="I9" s="31">
        <v>2087</v>
      </c>
      <c r="J9" s="31">
        <v>2161</v>
      </c>
      <c r="K9" s="31">
        <v>937</v>
      </c>
      <c r="L9" s="31">
        <v>1581</v>
      </c>
      <c r="M9" s="31">
        <v>1315</v>
      </c>
      <c r="N9" s="31">
        <v>991</v>
      </c>
      <c r="O9" s="29">
        <f t="shared" si="0"/>
        <v>-0.55219159511974691</v>
      </c>
      <c r="P9" s="29">
        <f t="shared" si="1"/>
        <v>-0.54141601110596949</v>
      </c>
    </row>
    <row r="10" spans="1:17" ht="18" customHeight="1">
      <c r="A10" s="185"/>
      <c r="B10" s="30" t="s">
        <v>196</v>
      </c>
      <c r="C10" s="31"/>
      <c r="D10" s="31">
        <v>1706</v>
      </c>
      <c r="E10" s="31">
        <v>1739.75</v>
      </c>
      <c r="F10" s="31">
        <v>1840.5</v>
      </c>
      <c r="G10" s="31">
        <v>862.75</v>
      </c>
      <c r="H10" s="31">
        <v>1552</v>
      </c>
      <c r="I10" s="31">
        <v>1701</v>
      </c>
      <c r="J10" s="31">
        <v>1743.25</v>
      </c>
      <c r="K10" s="31">
        <v>791</v>
      </c>
      <c r="L10" s="31">
        <v>1322.75</v>
      </c>
      <c r="M10" s="31">
        <v>1079.5</v>
      </c>
      <c r="N10" s="31">
        <v>876.75</v>
      </c>
      <c r="O10" s="29">
        <f t="shared" si="0"/>
        <v>-0.48607854630715125</v>
      </c>
      <c r="P10" s="29">
        <f t="shared" si="1"/>
        <v>-0.49706008891438408</v>
      </c>
    </row>
    <row r="11" spans="1:17" ht="18" customHeight="1">
      <c r="A11" s="185"/>
      <c r="B11" s="30" t="s">
        <v>197</v>
      </c>
      <c r="C11" s="31"/>
      <c r="D11" s="31">
        <v>46.948585510253906</v>
      </c>
      <c r="E11" s="31">
        <v>26.972518920898438</v>
      </c>
      <c r="F11" s="31">
        <v>37.272415161132813</v>
      </c>
      <c r="G11" s="31">
        <v>25.118654251098633</v>
      </c>
      <c r="H11" s="31">
        <v>48.976543426513672</v>
      </c>
      <c r="I11" s="31">
        <v>36.786739349365234</v>
      </c>
      <c r="J11" s="31">
        <v>38.935531616210938</v>
      </c>
      <c r="K11" s="31">
        <v>22.038951873779297</v>
      </c>
      <c r="L11" s="31">
        <v>30.667007446289063</v>
      </c>
      <c r="M11" s="31">
        <v>31.75275993347168</v>
      </c>
      <c r="N11" s="31">
        <v>24.992101669311523</v>
      </c>
      <c r="O11" s="34">
        <f t="shared" si="0"/>
        <v>-0.4676708276151777</v>
      </c>
      <c r="P11" s="34">
        <f t="shared" si="1"/>
        <v>-0.35811582295421956</v>
      </c>
    </row>
    <row r="12" spans="1:17" ht="18" customHeight="1">
      <c r="A12" s="186" t="s">
        <v>198</v>
      </c>
      <c r="B12" s="35" t="s">
        <v>199</v>
      </c>
      <c r="C12" s="36"/>
      <c r="D12" s="36">
        <v>13.67080020904541</v>
      </c>
      <c r="E12" s="36">
        <v>14.626111030578613</v>
      </c>
      <c r="F12" s="36">
        <v>13.912500381469727</v>
      </c>
      <c r="G12" s="36">
        <v>14.433750152587891</v>
      </c>
      <c r="H12" s="36">
        <v>13.92909049987793</v>
      </c>
      <c r="I12" s="36">
        <v>13.770999908447266</v>
      </c>
      <c r="J12" s="36">
        <v>13.731363296508789</v>
      </c>
      <c r="K12" s="36">
        <v>14.041428565979004</v>
      </c>
      <c r="L12" s="36">
        <v>13.92449951171875</v>
      </c>
      <c r="M12" s="36">
        <v>14.078235626220703</v>
      </c>
      <c r="N12" s="36">
        <v>14.133749961853027</v>
      </c>
      <c r="O12" s="29">
        <f t="shared" si="0"/>
        <v>3.3864129804289163E-2</v>
      </c>
      <c r="P12" s="29">
        <f t="shared" si="1"/>
        <v>2.9304203570707756E-2</v>
      </c>
    </row>
    <row r="13" spans="1:17" ht="18" customHeight="1">
      <c r="A13" s="187"/>
      <c r="B13" s="37" t="s">
        <v>190</v>
      </c>
      <c r="C13" s="31"/>
      <c r="D13" s="31">
        <v>182.08000183105469</v>
      </c>
      <c r="E13" s="31">
        <v>190.16667175292969</v>
      </c>
      <c r="F13" s="31">
        <v>189</v>
      </c>
      <c r="G13" s="31">
        <v>205.375</v>
      </c>
      <c r="H13" s="31">
        <v>190.09091186523438</v>
      </c>
      <c r="I13" s="31">
        <v>191.94999694824219</v>
      </c>
      <c r="J13" s="31">
        <v>193.40908813476563</v>
      </c>
      <c r="K13" s="31">
        <v>199.21427917480469</v>
      </c>
      <c r="L13" s="31">
        <v>191.19999694824219</v>
      </c>
      <c r="M13" s="31">
        <v>196.94117736816406</v>
      </c>
      <c r="N13" s="31">
        <v>197.8125</v>
      </c>
      <c r="O13" s="29">
        <f t="shared" si="0"/>
        <v>8.6404316842784948E-2</v>
      </c>
      <c r="P13" s="29">
        <f t="shared" si="1"/>
        <v>2.2767347220861302E-2</v>
      </c>
    </row>
    <row r="14" spans="1:17" ht="18" customHeight="1">
      <c r="A14" s="187"/>
      <c r="B14" s="37" t="s">
        <v>191</v>
      </c>
      <c r="C14" s="31"/>
      <c r="D14" s="31">
        <v>24.040000915527344</v>
      </c>
      <c r="E14" s="31">
        <v>30.05555534362793</v>
      </c>
      <c r="F14" s="31">
        <v>26.25</v>
      </c>
      <c r="G14" s="31">
        <v>29.625</v>
      </c>
      <c r="H14" s="31">
        <v>26.636363983154297</v>
      </c>
      <c r="I14" s="31">
        <v>24.850000381469727</v>
      </c>
      <c r="J14" s="31">
        <v>24.5</v>
      </c>
      <c r="K14" s="31">
        <v>26.785715103149414</v>
      </c>
      <c r="L14" s="31">
        <v>24.299999237060547</v>
      </c>
      <c r="M14" s="31">
        <v>25.823530197143555</v>
      </c>
      <c r="N14" s="31">
        <v>26.3125</v>
      </c>
      <c r="O14" s="29">
        <f t="shared" si="0"/>
        <v>9.4529908399664742E-2</v>
      </c>
      <c r="P14" s="29">
        <f t="shared" si="1"/>
        <v>7.3979591836734693E-2</v>
      </c>
    </row>
    <row r="15" spans="1:17" ht="18" customHeight="1">
      <c r="A15" s="187"/>
      <c r="B15" s="37" t="s">
        <v>192</v>
      </c>
      <c r="C15" s="31"/>
      <c r="D15" s="31">
        <v>151.5167236328125</v>
      </c>
      <c r="E15" s="31">
        <v>164.71568298339844</v>
      </c>
      <c r="F15" s="31">
        <v>157.91114807128906</v>
      </c>
      <c r="G15" s="31">
        <v>169.56497192382813</v>
      </c>
      <c r="H15" s="31">
        <v>156.81820678710938</v>
      </c>
      <c r="I15" s="31">
        <v>156.32400512695313</v>
      </c>
      <c r="J15" s="31">
        <v>157.56007385253906</v>
      </c>
      <c r="K15" s="31">
        <v>164.62127685546875</v>
      </c>
      <c r="L15" s="31">
        <v>156.61398315429688</v>
      </c>
      <c r="M15" s="31">
        <v>161.76573181152344</v>
      </c>
      <c r="N15" s="31">
        <v>162.79820251464844</v>
      </c>
      <c r="O15" s="29">
        <f t="shared" si="0"/>
        <v>7.4456988056154208E-2</v>
      </c>
      <c r="P15" s="29">
        <f t="shared" si="1"/>
        <v>3.3245279302240964E-2</v>
      </c>
    </row>
    <row r="16" spans="1:17" ht="18" customHeight="1">
      <c r="A16" s="187"/>
      <c r="B16" s="37" t="s">
        <v>193</v>
      </c>
      <c r="C16" s="33"/>
      <c r="D16" s="33">
        <v>65.138450622558594</v>
      </c>
      <c r="E16" s="33">
        <v>61.221271514892578</v>
      </c>
      <c r="F16" s="33">
        <v>70.667152404785156</v>
      </c>
      <c r="G16" s="33">
        <v>82.6353759765625</v>
      </c>
      <c r="H16" s="33">
        <v>37.134632110595703</v>
      </c>
      <c r="I16" s="33">
        <v>23.619289398193359</v>
      </c>
      <c r="J16" s="33">
        <v>44.708568572998047</v>
      </c>
      <c r="K16" s="33">
        <v>25.62190055847168</v>
      </c>
      <c r="L16" s="33">
        <v>47.306728363037109</v>
      </c>
      <c r="M16" s="33">
        <v>24.321388244628906</v>
      </c>
      <c r="N16" s="33">
        <v>14.641080856323242</v>
      </c>
      <c r="O16" s="29">
        <f t="shared" si="0"/>
        <v>-0.77523136156307693</v>
      </c>
      <c r="P16" s="29">
        <f t="shared" si="1"/>
        <v>-0.67252181575847203</v>
      </c>
    </row>
    <row r="17" spans="1:16" ht="18" customHeight="1">
      <c r="A17" s="187"/>
      <c r="B17" s="37" t="s">
        <v>200</v>
      </c>
      <c r="C17" s="33"/>
      <c r="D17" s="33">
        <f ca="1">136.55478125*OFFSET(D$113,MATCH($N$1,$C$113:$C$114,0)-1,0)</f>
        <v>136.55478124999999</v>
      </c>
      <c r="E17" s="33">
        <f ca="1">141.433140625*OFFSET(E$113,MATCH($N$1,$C$113:$C$114,0)-1,0)</f>
        <v>141.43314062499999</v>
      </c>
      <c r="F17" s="33">
        <f ca="1">77.6531015625*OFFSET(F$113,MATCH($N$1,$C$113:$C$114,0)-1,0)</f>
        <v>77.653101562499998</v>
      </c>
      <c r="G17" s="33">
        <f ca="1">114.8023125*OFFSET(G$113,MATCH($N$1,$C$113:$C$114,0)-1,0)</f>
        <v>114.8023125</v>
      </c>
      <c r="H17" s="33">
        <f ca="1">127.4449921875*OFFSET(H$113,MATCH($N$1,$C$113:$C$114,0)-1,0)</f>
        <v>127.44499218750001</v>
      </c>
      <c r="I17" s="33">
        <f ca="1">111.285984375*OFFSET(I$113,MATCH($N$1,$C$113:$C$114,0)-1,0)</f>
        <v>111.285984375</v>
      </c>
      <c r="J17" s="33">
        <f ca="1">116.4264140625*OFFSET(J$113,MATCH($N$1,$C$113:$C$114,0)-1,0)</f>
        <v>116.4264140625</v>
      </c>
      <c r="K17" s="33">
        <f ca="1">51.61446484375*OFFSET(K$113,MATCH($N$1,$C$113:$C$114,0)-1,0)</f>
        <v>51.61446484375</v>
      </c>
      <c r="L17" s="33">
        <f ca="1">104.8652734375*OFFSET(L$113,MATCH($N$1,$C$113:$C$114,0)-1,0)</f>
        <v>104.86527343749999</v>
      </c>
      <c r="M17" s="33">
        <f ca="1">64.44094921875*OFFSET(M$113,MATCH($N$1,$C$113:$C$114,0)-1,0)</f>
        <v>64.440949218750006</v>
      </c>
      <c r="N17" s="33">
        <v>55.934554687500004</v>
      </c>
      <c r="O17" s="29">
        <f t="shared" ca="1" si="0"/>
        <v>-0.59038743150928663</v>
      </c>
      <c r="P17" s="29">
        <f t="shared" ca="1" si="1"/>
        <v>-0.51957160977685679</v>
      </c>
    </row>
    <row r="18" spans="1:16" ht="18" customHeight="1">
      <c r="A18" s="187"/>
      <c r="B18" s="37" t="s">
        <v>195</v>
      </c>
      <c r="C18" s="31"/>
      <c r="D18" s="31">
        <v>88.519996643066406</v>
      </c>
      <c r="E18" s="31">
        <v>117.11111450195313</v>
      </c>
      <c r="F18" s="31">
        <v>115.25</v>
      </c>
      <c r="G18" s="31">
        <v>119.75</v>
      </c>
      <c r="H18" s="31">
        <v>86.318183898925781</v>
      </c>
      <c r="I18" s="31">
        <v>104.34999847412109</v>
      </c>
      <c r="J18" s="31">
        <v>98.227272033691406</v>
      </c>
      <c r="K18" s="31">
        <v>66.928573608398438</v>
      </c>
      <c r="L18" s="31">
        <v>79.050003051757813</v>
      </c>
      <c r="M18" s="31">
        <v>77.352943420410156</v>
      </c>
      <c r="N18" s="31">
        <v>61.9375</v>
      </c>
      <c r="O18" s="29">
        <f t="shared" si="0"/>
        <v>-0.30029934083993848</v>
      </c>
      <c r="P18" s="29">
        <f t="shared" si="1"/>
        <v>-0.36944701081838266</v>
      </c>
    </row>
    <row r="19" spans="1:16" ht="18" customHeight="1">
      <c r="A19" s="187"/>
      <c r="B19" s="37" t="s">
        <v>201</v>
      </c>
      <c r="C19" s="31"/>
      <c r="D19" s="31">
        <v>16.879999160766602</v>
      </c>
      <c r="E19" s="31">
        <v>19.55555534362793</v>
      </c>
      <c r="F19" s="31">
        <v>18.700000762939453</v>
      </c>
      <c r="G19" s="31">
        <v>20</v>
      </c>
      <c r="H19" s="31">
        <v>20.045454025268555</v>
      </c>
      <c r="I19" s="31">
        <v>19.25</v>
      </c>
      <c r="J19" s="31">
        <v>19.727272033691406</v>
      </c>
      <c r="K19" s="31">
        <v>21.857143402099609</v>
      </c>
      <c r="L19" s="31">
        <v>24.549999237060547</v>
      </c>
      <c r="M19" s="31">
        <v>24.176469802856445</v>
      </c>
      <c r="N19" s="31">
        <v>25.375</v>
      </c>
      <c r="O19" s="29">
        <f t="shared" si="0"/>
        <v>0.50325836857728845</v>
      </c>
      <c r="P19" s="29">
        <f t="shared" si="1"/>
        <v>0.28629036780468525</v>
      </c>
    </row>
    <row r="20" spans="1:16" ht="18" customHeight="1">
      <c r="A20" s="187"/>
      <c r="B20" s="37" t="s">
        <v>202</v>
      </c>
      <c r="C20" s="38"/>
      <c r="D20" s="38">
        <v>0.73586142063140869</v>
      </c>
      <c r="E20" s="38">
        <v>0.5227622389793396</v>
      </c>
      <c r="F20" s="38">
        <v>0.61316400766372681</v>
      </c>
      <c r="G20" s="38">
        <v>0.69006574153900146</v>
      </c>
      <c r="H20" s="38">
        <v>0.43020635843276978</v>
      </c>
      <c r="I20" s="38">
        <v>0.22634680569171906</v>
      </c>
      <c r="J20" s="38">
        <v>0.45515432953834534</v>
      </c>
      <c r="K20" s="38">
        <v>0.38282454013824463</v>
      </c>
      <c r="L20" s="38">
        <v>0.59844058752059937</v>
      </c>
      <c r="M20" s="38">
        <v>0.31442096829414368</v>
      </c>
      <c r="N20" s="38">
        <v>0.23638474941253662</v>
      </c>
      <c r="O20" s="29">
        <f t="shared" si="0"/>
        <v>-0.67876458422061892</v>
      </c>
      <c r="P20" s="29">
        <f t="shared" si="1"/>
        <v>-0.48064923461829456</v>
      </c>
    </row>
    <row r="21" spans="1:16" ht="18" customHeight="1">
      <c r="A21" s="188"/>
      <c r="B21" s="39" t="s">
        <v>203</v>
      </c>
      <c r="C21" s="40"/>
      <c r="D21" s="40">
        <f ca="1">2096*OFFSET(D$113,MATCH($N$1,$C$113:$C$114,0)-1,0)</f>
        <v>2096</v>
      </c>
      <c r="E21" s="40">
        <f ca="1">2310*OFFSET(E$113,MATCH($N$1,$C$113:$C$114,0)-1,0)</f>
        <v>2310</v>
      </c>
      <c r="F21" s="40">
        <f ca="1">1099*OFFSET(F$113,MATCH($N$1,$C$113:$C$114,0)-1,0)</f>
        <v>1099</v>
      </c>
      <c r="G21" s="40">
        <f ca="1">1389*OFFSET(G$113,MATCH($N$1,$C$113:$C$114,0)-1,0)</f>
        <v>1389</v>
      </c>
      <c r="H21" s="40">
        <f ca="1">3432*OFFSET(H$113,MATCH($N$1,$C$113:$C$114,0)-1,0)</f>
        <v>3432</v>
      </c>
      <c r="I21" s="40">
        <f ca="1">4712*OFFSET(I$113,MATCH($N$1,$C$113:$C$114,0)-1,0)</f>
        <v>4712</v>
      </c>
      <c r="J21" s="40">
        <f ca="1">2604*OFFSET(J$113,MATCH($N$1,$C$113:$C$114,0)-1,0)</f>
        <v>2604</v>
      </c>
      <c r="K21" s="40">
        <f ca="1">2014*OFFSET(K$113,MATCH($N$1,$C$113:$C$114,0)-1,0)</f>
        <v>2014</v>
      </c>
      <c r="L21" s="40">
        <f ca="1">2217*OFFSET(L$113,MATCH($N$1,$C$113:$C$114,0)-1,0)</f>
        <v>2217</v>
      </c>
      <c r="M21" s="40">
        <f ca="1">2650*OFFSET(M$113,MATCH($N$1,$C$113:$C$114,0)-1,0)</f>
        <v>2650</v>
      </c>
      <c r="N21" s="40">
        <v>3820</v>
      </c>
      <c r="O21" s="34">
        <f t="shared" ca="1" si="0"/>
        <v>0.8225190839694656</v>
      </c>
      <c r="P21" s="34">
        <f t="shared" ca="1" si="1"/>
        <v>0.46697388632872505</v>
      </c>
    </row>
    <row r="22" spans="1:16" ht="18" customHeight="1">
      <c r="A22" s="189" t="s">
        <v>204</v>
      </c>
      <c r="B22" s="35" t="s">
        <v>205</v>
      </c>
      <c r="C22" s="41"/>
      <c r="D22" s="41">
        <v>3.9223019947286133</v>
      </c>
      <c r="E22" s="41">
        <v>2.7202065528924475</v>
      </c>
      <c r="F22" s="41">
        <v>3.242810071527813</v>
      </c>
      <c r="G22" s="41">
        <v>3.3062912062321512</v>
      </c>
      <c r="H22" s="41">
        <v>2.1382350529235601</v>
      </c>
      <c r="I22" s="41">
        <v>1.135690138187911</v>
      </c>
      <c r="J22" s="41">
        <v>2.3021595816806091</v>
      </c>
      <c r="K22" s="41">
        <v>1.9644930464613135</v>
      </c>
      <c r="L22" s="41">
        <v>3.0651678096695165</v>
      </c>
      <c r="M22" s="41">
        <v>1.6164181437961793</v>
      </c>
      <c r="N22" s="41">
        <v>1.1432706219158124</v>
      </c>
      <c r="O22" s="29">
        <f t="shared" si="0"/>
        <v>-0.70852050060084271</v>
      </c>
      <c r="P22" s="29">
        <f t="shared" si="1"/>
        <v>-0.50339210582386795</v>
      </c>
    </row>
    <row r="23" spans="1:16" ht="18" customHeight="1">
      <c r="A23" s="189"/>
      <c r="B23" s="37" t="s">
        <v>206</v>
      </c>
      <c r="C23" s="38"/>
      <c r="D23" s="38">
        <f ca="1">8.22262558853547*OFFSET(D$113,MATCH($N$1,$C$113:$C$114,0)-1,0)</f>
        <v>8.22262558853547</v>
      </c>
      <c r="E23" s="38">
        <f ca="1">6.28421047790058*OFFSET(E$113,MATCH($N$1,$C$113:$C$114,0)-1,0)</f>
        <v>6.2842104779005803</v>
      </c>
      <c r="F23" s="38">
        <f ca="1">3.56338484377921*OFFSET(F$113,MATCH($N$1,$C$113:$C$114,0)-1,0)</f>
        <v>3.5633848437792102</v>
      </c>
      <c r="G23" s="38">
        <f ca="1">4.59330972707768*OFFSET(G$113,MATCH($N$1,$C$113:$C$114,0)-1,0)</f>
        <v>4.5933097270776804</v>
      </c>
      <c r="H23" s="38">
        <f ca="1">7.33836136583474*OFFSET(H$113,MATCH($N$1,$C$113:$C$114,0)-1,0)</f>
        <v>7.3383613658347402</v>
      </c>
      <c r="I23" s="38">
        <f ca="1">5.35098210799215*OFFSET(I$113,MATCH($N$1,$C$113:$C$114,0)-1,0)</f>
        <v>5.3509821079921496</v>
      </c>
      <c r="J23" s="38">
        <f ca="1">5.99509653853194*OFFSET(J$113,MATCH($N$1,$C$113:$C$114,0)-1,0)</f>
        <v>5.9950965385319401</v>
      </c>
      <c r="K23" s="38">
        <f ca="1">3.95740577678743*OFFSET(K$113,MATCH($N$1,$C$113:$C$114,0)-1,0)</f>
        <v>3.95740577678743</v>
      </c>
      <c r="L23" s="38">
        <f ca="1">6.79458655492153*OFFSET(L$113,MATCH($N$1,$C$113:$C$114,0)-1,0)</f>
        <v>6.7945865549215299</v>
      </c>
      <c r="M23" s="38">
        <f ca="1">4.28279498164086*OFFSET(M$113,MATCH($N$1,$C$113:$C$114,0)-1,0)</f>
        <v>4.2827949816408601</v>
      </c>
      <c r="N23" s="38">
        <v>4.3677330759732751</v>
      </c>
      <c r="O23" s="29">
        <f t="shared" ca="1" si="0"/>
        <v>-0.46881527938435402</v>
      </c>
      <c r="P23" s="29">
        <f t="shared" ca="1" si="1"/>
        <v>-0.27144908378025362</v>
      </c>
    </row>
    <row r="24" spans="1:16" ht="18" customHeight="1">
      <c r="A24" s="189"/>
      <c r="B24" s="37" t="s">
        <v>153</v>
      </c>
      <c r="C24" s="38"/>
      <c r="D24" s="38">
        <f ca="1">8.49917093590341*OFFSET(D$113,MATCH($N$1,$C$113:$C$114,0)-1,0)</f>
        <v>8.4991709359034093</v>
      </c>
      <c r="E24" s="38">
        <f ca="1">6.61614738062899*OFFSET(E$113,MATCH($N$1,$C$113:$C$114,0)-1,0)</f>
        <v>6.6161473806289903</v>
      </c>
      <c r="F24" s="38">
        <f ca="1">3.91937425845697*OFFSET(F$113,MATCH($N$1,$C$113:$C$114,0)-1,0)</f>
        <v>3.91937425845697</v>
      </c>
      <c r="G24" s="38">
        <f ca="1">4.77634017350535*OFFSET(G$113,MATCH($N$1,$C$113:$C$114,0)-1,0)</f>
        <v>4.7763401735053499</v>
      </c>
      <c r="H24" s="38">
        <f ca="1">7.4241319061175*OFFSET(H$113,MATCH($N$1,$C$113:$C$114,0)-1,0)</f>
        <v>7.4241319061175002</v>
      </c>
      <c r="I24" s="38">
        <f ca="1">5.55181949223804*OFFSET(I$113,MATCH($N$1,$C$113:$C$114,0)-1,0)</f>
        <v>5.5518194922380397</v>
      </c>
      <c r="J24" s="38">
        <f ca="1">6.28360024157262*OFFSET(J$113,MATCH($N$1,$C$113:$C$114,0)-1,0)</f>
        <v>6.2836002415726204</v>
      </c>
      <c r="K24" s="38">
        <f ca="1">5.42155438350585*OFFSET(K$113,MATCH($N$1,$C$113:$C$114,0)-1,0)</f>
        <v>5.4215543835058497</v>
      </c>
      <c r="L24" s="38">
        <f ca="1">6.92230846659763*OFFSET(L$113,MATCH($N$1,$C$113:$C$114,0)-1,0)</f>
        <v>6.92230846659763</v>
      </c>
      <c r="M24" s="38">
        <f ca="1">4.38848862339629*OFFSET(M$113,MATCH($N$1,$C$113:$C$114,0)-1,0)</f>
        <v>4.3884886233962899</v>
      </c>
      <c r="N24" s="38">
        <v>6.7624299356762538</v>
      </c>
      <c r="O24" s="29">
        <f t="shared" ca="1" si="0"/>
        <v>-0.20434240155008138</v>
      </c>
      <c r="P24" s="29">
        <f t="shared" ca="1" si="1"/>
        <v>7.6203080351240626E-2</v>
      </c>
    </row>
    <row r="25" spans="1:16" ht="18" customHeight="1">
      <c r="A25" s="189"/>
      <c r="B25" s="37" t="s">
        <v>154</v>
      </c>
      <c r="C25" s="38"/>
      <c r="D25" s="38">
        <f ca="1">-0.0964182558133791*OFFSET(D$113,MATCH($N$1,$C$113:$C$114,0)-1,0)</f>
        <v>-9.6418255813379095E-2</v>
      </c>
      <c r="E25" s="38">
        <f ca="1">-0.194273274212239*OFFSET(E$113,MATCH($N$1,$C$113:$C$114,0)-1,0)</f>
        <v>-0.194273274212239</v>
      </c>
      <c r="F25" s="38">
        <f ca="1">-0.277928936987373*OFFSET(F$113,MATCH($N$1,$C$113:$C$114,0)-1,0)</f>
        <v>-0.27792893698737298</v>
      </c>
      <c r="G25" s="38">
        <f ca="1">-0.0824081467526395*OFFSET(G$113,MATCH($N$1,$C$113:$C$114,0)-1,0)</f>
        <v>-8.2408146752639494E-2</v>
      </c>
      <c r="H25" s="38">
        <f ca="1">0.0749856174975801*OFFSET(H$113,MATCH($N$1,$C$113:$C$114,0)-1,0)</f>
        <v>7.4985617497580107E-2</v>
      </c>
      <c r="I25" s="38">
        <f ca="1">-0.0836173010357226*OFFSET(I$113,MATCH($N$1,$C$113:$C$114,0)-1,0)</f>
        <v>-8.3617301035722597E-2</v>
      </c>
      <c r="J25" s="38">
        <f ca="1">-0.288503703040677*OFFSET(J$113,MATCH($N$1,$C$113:$C$114,0)-1,0)</f>
        <v>-0.28850370304067702</v>
      </c>
      <c r="K25" s="38">
        <f ca="1">-1.46414860671842*OFFSET(K$113,MATCH($N$1,$C$113:$C$114,0)-1,0)</f>
        <v>-1.46414860671842</v>
      </c>
      <c r="L25" s="38">
        <f ca="1">0.443341861944571*OFFSET(L$113,MATCH($N$1,$C$113:$C$114,0)-1,0)</f>
        <v>0.44334186194457098</v>
      </c>
      <c r="M25" s="38">
        <f ca="1">-0.105693641755431*OFFSET(M$113,MATCH($N$1,$C$113:$C$114,0)-1,0)</f>
        <v>-0.105693641755431</v>
      </c>
      <c r="N25" s="38">
        <v>-2.3946968597029783</v>
      </c>
      <c r="O25" s="29">
        <f t="shared" ca="1" si="0"/>
        <v>-23.83655029331787</v>
      </c>
      <c r="P25" s="29">
        <f t="shared" ca="1" si="1"/>
        <v>-7.3004025059787274</v>
      </c>
    </row>
    <row r="26" spans="1:16" ht="18" customHeight="1">
      <c r="A26" s="189"/>
      <c r="B26" s="37" t="s">
        <v>207</v>
      </c>
      <c r="C26" s="33"/>
      <c r="D26" s="33">
        <f ca="1">72.74*OFFSET(D$113,MATCH($N$1,$C$113:$C$114,0)-1,0)</f>
        <v>72.739999999999995</v>
      </c>
      <c r="E26" s="33">
        <f ca="1">94.36*OFFSET(E$113,MATCH($N$1,$C$113:$C$114,0)-1,0)</f>
        <v>94.36</v>
      </c>
      <c r="F26" s="33">
        <f ca="1">41.69*OFFSET(F$113,MATCH($N$1,$C$113:$C$114,0)-1,0)</f>
        <v>41.69</v>
      </c>
      <c r="G26" s="33">
        <f ca="1">36.56*OFFSET(G$113,MATCH($N$1,$C$113:$C$114,0)-1,0)</f>
        <v>36.56</v>
      </c>
      <c r="H26" s="33">
        <f ca="1">57.23*OFFSET(H$113,MATCH($N$1,$C$113:$C$114,0)-1,0)</f>
        <v>57.23</v>
      </c>
      <c r="I26" s="33">
        <f ca="1">60.51*OFFSET(I$113,MATCH($N$1,$C$113:$C$114,0)-1,0)</f>
        <v>60.51</v>
      </c>
      <c r="J26" s="33">
        <f ca="1">65.77*OFFSET(J$113,MATCH($N$1,$C$113:$C$114,0)-1,0)</f>
        <v>65.77</v>
      </c>
      <c r="K26" s="33">
        <f ca="1">32.78*OFFSET(K$113,MATCH($N$1,$C$113:$C$114,0)-1,0)</f>
        <v>32.78</v>
      </c>
      <c r="L26" s="33">
        <f ca="1">68.41*OFFSET(L$113,MATCH($N$1,$C$113:$C$114,0)-1,0)</f>
        <v>68.41</v>
      </c>
      <c r="M26" s="33">
        <f ca="1">34.48*OFFSET(M$113,MATCH($N$1,$C$113:$C$114,0)-1,0)</f>
        <v>34.479999999999997</v>
      </c>
      <c r="N26" s="33">
        <v>35.79</v>
      </c>
      <c r="O26" s="29">
        <f t="shared" ca="1" si="0"/>
        <v>-0.50797360461919161</v>
      </c>
      <c r="P26" s="29">
        <f t="shared" ca="1" si="1"/>
        <v>-0.45583092595408237</v>
      </c>
    </row>
    <row r="27" spans="1:16" ht="18" customHeight="1">
      <c r="A27" s="190"/>
      <c r="B27" s="37" t="s">
        <v>208</v>
      </c>
      <c r="C27" s="33"/>
      <c r="D27" s="33">
        <f ca="1">-0.85*OFFSET(D$113,MATCH($N$1,$C$113:$C$114,0)-1,0)</f>
        <v>-0.85</v>
      </c>
      <c r="E27" s="33">
        <f ca="1">-2.94*OFFSET(E$113,MATCH($N$1,$C$113:$C$114,0)-1,0)</f>
        <v>-2.94</v>
      </c>
      <c r="F27" s="33">
        <f ca="1">-3.27*OFFSET(F$113,MATCH($N$1,$C$113:$C$114,0)-1,0)</f>
        <v>-3.27</v>
      </c>
      <c r="G27" s="33">
        <f ca="1">-0.67*OFFSET(G$113,MATCH($N$1,$C$113:$C$114,0)-1,0)</f>
        <v>-0.67</v>
      </c>
      <c r="H27" s="33">
        <f ca="1">0.58*OFFSET(H$113,MATCH($N$1,$C$113:$C$114,0)-1,0)</f>
        <v>0.57999999999999996</v>
      </c>
      <c r="I27" s="33">
        <f ca="1">-0.92*OFFSET(I$113,MATCH($N$1,$C$113:$C$114,0)-1,0)</f>
        <v>-0.92</v>
      </c>
      <c r="J27" s="33">
        <f ca="1">-3.16*OFFSET(J$113,MATCH($N$1,$C$113:$C$114,0)-1,0)</f>
        <v>-3.16</v>
      </c>
      <c r="K27" s="33">
        <f ca="1">-12.13*OFFSET(K$113,MATCH($N$1,$C$113:$C$114,0)-1,0)</f>
        <v>-12.13</v>
      </c>
      <c r="L27" s="33">
        <f ca="1">4.43*OFFSET(L$113,MATCH($N$1,$C$113:$C$114,0)-1,0)</f>
        <v>4.43</v>
      </c>
      <c r="M27" s="33">
        <f ca="1">-0.86*OFFSET(M$113,MATCH($N$1,$C$113:$C$114,0)-1,0)</f>
        <v>-0.86</v>
      </c>
      <c r="N27" s="33">
        <v>-19.649999999999999</v>
      </c>
      <c r="O27" s="34">
        <f t="shared" ca="1" si="0"/>
        <v>-22.117647058823525</v>
      </c>
      <c r="P27" s="34">
        <f t="shared" ca="1" si="1"/>
        <v>-5.2183544303797458</v>
      </c>
    </row>
    <row r="28" spans="1:16" s="78" customFormat="1" ht="18" customHeight="1">
      <c r="A28" s="191" t="s">
        <v>209</v>
      </c>
      <c r="B28" s="82" t="s">
        <v>200</v>
      </c>
      <c r="C28" s="83"/>
      <c r="D28" s="83">
        <f ca="1">136.6*OFFSET(D$113,MATCH($N$1,$C$113:$C$114,0)-1,0)</f>
        <v>136.6</v>
      </c>
      <c r="E28" s="83">
        <f ca="1">141.4*OFFSET(E$113,MATCH($N$1,$C$113:$C$114,0)-1,0)</f>
        <v>141.4</v>
      </c>
      <c r="F28" s="83">
        <f ca="1">77.7*OFFSET(F$113,MATCH($N$1,$C$113:$C$114,0)-1,0)</f>
        <v>77.7</v>
      </c>
      <c r="G28" s="83">
        <f ca="1">114.8*OFFSET(G$113,MATCH($N$1,$C$113:$C$114,0)-1,0)</f>
        <v>114.8</v>
      </c>
      <c r="H28" s="83">
        <f ca="1">127.4*OFFSET(H$113,MATCH($N$1,$C$113:$C$114,0)-1,0)</f>
        <v>127.4</v>
      </c>
      <c r="I28" s="83">
        <f ca="1">111.3*OFFSET(I$113,MATCH($N$1,$C$113:$C$114,0)-1,0)</f>
        <v>111.3</v>
      </c>
      <c r="J28" s="83">
        <f ca="1">116.4*OFFSET(J$113,MATCH($N$1,$C$113:$C$114,0)-1,0)</f>
        <v>116.4</v>
      </c>
      <c r="K28" s="83">
        <f ca="1">51.6*OFFSET(K$113,MATCH($N$1,$C$113:$C$114,0)-1,0)</f>
        <v>51.6</v>
      </c>
      <c r="L28" s="83">
        <f ca="1">104.9*OFFSET(L$113,MATCH($N$1,$C$113:$C$114,0)-1,0)</f>
        <v>104.9</v>
      </c>
      <c r="M28" s="83">
        <f ca="1">64.4*OFFSET(M$113,MATCH($N$1,$C$113:$C$114,0)-1,0)</f>
        <v>64.400000000000006</v>
      </c>
      <c r="N28" s="83">
        <v>55.9</v>
      </c>
      <c r="O28" s="84">
        <f t="shared" ca="1" si="0"/>
        <v>-0.5907759882869692</v>
      </c>
      <c r="P28" s="84">
        <f t="shared" ca="1" si="1"/>
        <v>-0.51975945017182135</v>
      </c>
    </row>
    <row r="29" spans="1:16" s="78" customFormat="1" ht="18" customHeight="1">
      <c r="A29" s="192"/>
      <c r="B29" s="85" t="s">
        <v>210</v>
      </c>
      <c r="C29" s="86"/>
      <c r="D29" s="86">
        <f ca="1">3*OFFSET(D$113,MATCH($N$1,$C$113:$C$114,0)-1,0)</f>
        <v>3</v>
      </c>
      <c r="E29" s="86">
        <f ca="1">3.1*OFFSET(E$113,MATCH($N$1,$C$113:$C$114,0)-1,0)</f>
        <v>3.1</v>
      </c>
      <c r="F29" s="86">
        <f ca="1">1.7*OFFSET(F$113,MATCH($N$1,$C$113:$C$114,0)-1,0)</f>
        <v>1.7</v>
      </c>
      <c r="G29" s="86">
        <f ca="1">2.5*OFFSET(G$113,MATCH($N$1,$C$113:$C$114,0)-1,0)</f>
        <v>2.5</v>
      </c>
      <c r="H29" s="86">
        <f ca="1">2.8*OFFSET(H$113,MATCH($N$1,$C$113:$C$114,0)-1,0)</f>
        <v>2.8</v>
      </c>
      <c r="I29" s="86">
        <f ca="1">2.4*OFFSET(I$113,MATCH($N$1,$C$113:$C$114,0)-1,0)</f>
        <v>2.4</v>
      </c>
      <c r="J29" s="86"/>
      <c r="K29" s="86"/>
      <c r="L29" s="86">
        <f ca="1">8.8*OFFSET(L$113,MATCH($N$1,$C$113:$C$114,0)-1,0)</f>
        <v>8.8000000000000007</v>
      </c>
      <c r="M29" s="86"/>
      <c r="N29" s="86"/>
      <c r="O29" s="84" t="str">
        <f t="shared" si="0"/>
        <v/>
      </c>
      <c r="P29" s="84" t="str">
        <f t="shared" si="1"/>
        <v/>
      </c>
    </row>
    <row r="30" spans="1:16" s="78" customFormat="1" ht="18" customHeight="1">
      <c r="A30" s="192"/>
      <c r="B30" s="87" t="s">
        <v>211</v>
      </c>
      <c r="C30" s="88"/>
      <c r="D30" s="88">
        <f ca="1">139.5*OFFSET(D$113,MATCH($N$1,$C$113:$C$114,0)-1,0)</f>
        <v>139.5</v>
      </c>
      <c r="E30" s="88">
        <f ca="1">144.5*OFFSET(E$113,MATCH($N$1,$C$113:$C$114,0)-1,0)</f>
        <v>144.5</v>
      </c>
      <c r="F30" s="88">
        <f ca="1">79.4*OFFSET(F$113,MATCH($N$1,$C$113:$C$114,0)-1,0)</f>
        <v>79.400000000000006</v>
      </c>
      <c r="G30" s="88">
        <f ca="1">117.3*OFFSET(G$113,MATCH($N$1,$C$113:$C$114,0)-1,0)</f>
        <v>117.3</v>
      </c>
      <c r="H30" s="88">
        <f ca="1">130.2*OFFSET(H$113,MATCH($N$1,$C$113:$C$114,0)-1,0)</f>
        <v>130.19999999999999</v>
      </c>
      <c r="I30" s="88">
        <f ca="1">113.7*OFFSET(I$113,MATCH($N$1,$C$113:$C$114,0)-1,0)</f>
        <v>113.7</v>
      </c>
      <c r="J30" s="88">
        <f ca="1">116.4*OFFSET(J$113,MATCH($N$1,$C$113:$C$114,0)-1,0)</f>
        <v>116.4</v>
      </c>
      <c r="K30" s="88">
        <f ca="1">51.6*OFFSET(K$113,MATCH($N$1,$C$113:$C$114,0)-1,0)</f>
        <v>51.6</v>
      </c>
      <c r="L30" s="88">
        <f ca="1">113.7*OFFSET(L$113,MATCH($N$1,$C$113:$C$114,0)-1,0)</f>
        <v>113.7</v>
      </c>
      <c r="M30" s="88">
        <f ca="1">64.4*OFFSET(M$113,MATCH($N$1,$C$113:$C$114,0)-1,0)</f>
        <v>64.400000000000006</v>
      </c>
      <c r="N30" s="88">
        <v>55.9</v>
      </c>
      <c r="O30" s="84">
        <f t="shared" ca="1" si="0"/>
        <v>-0.59928315412186373</v>
      </c>
      <c r="P30" s="84">
        <f t="shared" ca="1" si="1"/>
        <v>-0.51975945017182135</v>
      </c>
    </row>
    <row r="31" spans="1:16" s="78" customFormat="1" ht="18" customHeight="1">
      <c r="A31" s="192"/>
      <c r="B31" s="85" t="s">
        <v>212</v>
      </c>
      <c r="C31" s="86"/>
      <c r="D31" s="86">
        <f ca="1">48.1*OFFSET(D$113,MATCH($N$1,$C$113:$C$114,0)-1,0)</f>
        <v>48.1</v>
      </c>
      <c r="E31" s="86">
        <f ca="1">65*OFFSET(E$113,MATCH($N$1,$C$113:$C$114,0)-1,0)</f>
        <v>65</v>
      </c>
      <c r="F31" s="86">
        <f ca="1">56.1*OFFSET(F$113,MATCH($N$1,$C$113:$C$114,0)-1,0)</f>
        <v>56.1</v>
      </c>
      <c r="G31" s="86">
        <f ca="1">44.5*OFFSET(G$113,MATCH($N$1,$C$113:$C$114,0)-1,0)</f>
        <v>44.5</v>
      </c>
      <c r="H31" s="86">
        <f ca="1">29.3*OFFSET(H$113,MATCH($N$1,$C$113:$C$114,0)-1,0)</f>
        <v>29.3</v>
      </c>
      <c r="I31" s="86">
        <f ca="1">41.7*OFFSET(I$113,MATCH($N$1,$C$113:$C$114,0)-1,0)</f>
        <v>41.7</v>
      </c>
      <c r="J31" s="86">
        <f ca="1">45*OFFSET(J$113,MATCH($N$1,$C$113:$C$114,0)-1,0)</f>
        <v>45</v>
      </c>
      <c r="K31" s="86">
        <f ca="1">30.7*OFFSET(K$113,MATCH($N$1,$C$113:$C$114,0)-1,0)</f>
        <v>30.7</v>
      </c>
      <c r="L31" s="86">
        <f ca="1">25.5*OFFSET(L$113,MATCH($N$1,$C$113:$C$114,0)-1,0)</f>
        <v>25.5</v>
      </c>
      <c r="M31" s="86">
        <f ca="1">30.2*OFFSET(M$113,MATCH($N$1,$C$113:$C$114,0)-1,0)</f>
        <v>30.2</v>
      </c>
      <c r="N31" s="86">
        <v>42.7</v>
      </c>
      <c r="O31" s="84">
        <f t="shared" ca="1" si="0"/>
        <v>-0.11226611226611223</v>
      </c>
      <c r="P31" s="84">
        <f t="shared" ca="1" si="1"/>
        <v>-5.1111111111111045E-2</v>
      </c>
    </row>
    <row r="32" spans="1:16" s="78" customFormat="1" ht="18" customHeight="1">
      <c r="A32" s="192"/>
      <c r="B32" s="85" t="s">
        <v>213</v>
      </c>
      <c r="C32" s="86"/>
      <c r="D32" s="86">
        <f ca="1">47.1*OFFSET(D$113,MATCH($N$1,$C$113:$C$114,0)-1,0)</f>
        <v>47.1</v>
      </c>
      <c r="E32" s="86">
        <f ca="1">36.3*OFFSET(E$113,MATCH($N$1,$C$113:$C$114,0)-1,0)</f>
        <v>36.299999999999997</v>
      </c>
      <c r="F32" s="86">
        <f ca="1">3.1*OFFSET(F$113,MATCH($N$1,$C$113:$C$114,0)-1,0)</f>
        <v>3.1</v>
      </c>
      <c r="G32" s="86">
        <f ca="1">36.3*OFFSET(G$113,MATCH($N$1,$C$113:$C$114,0)-1,0)</f>
        <v>36.299999999999997</v>
      </c>
      <c r="H32" s="86">
        <f ca="1">56.8*OFFSET(H$113,MATCH($N$1,$C$113:$C$114,0)-1,0)</f>
        <v>56.8</v>
      </c>
      <c r="I32" s="86">
        <f ca="1">36.4*OFFSET(I$113,MATCH($N$1,$C$113:$C$114,0)-1,0)</f>
        <v>36.4</v>
      </c>
      <c r="J32" s="86">
        <f ca="1">57.8*OFFSET(J$113,MATCH($N$1,$C$113:$C$114,0)-1,0)</f>
        <v>57.8</v>
      </c>
      <c r="K32" s="86">
        <f ca="1">16.5*OFFSET(K$113,MATCH($N$1,$C$113:$C$114,0)-1,0)</f>
        <v>16.5</v>
      </c>
      <c r="L32" s="86">
        <f ca="1">33.5*OFFSET(L$113,MATCH($N$1,$C$113:$C$114,0)-1,0)</f>
        <v>33.5</v>
      </c>
      <c r="M32" s="86">
        <f ca="1">20.6*OFFSET(M$113,MATCH($N$1,$C$113:$C$114,0)-1,0)</f>
        <v>20.6</v>
      </c>
      <c r="N32" s="86">
        <v>17.900000000000002</v>
      </c>
      <c r="O32" s="84">
        <f t="shared" ca="1" si="0"/>
        <v>-0.61995753715498936</v>
      </c>
      <c r="P32" s="84">
        <f t="shared" ca="1" si="1"/>
        <v>-0.69031141868512103</v>
      </c>
    </row>
    <row r="33" spans="1:16" s="78" customFormat="1" ht="18" customHeight="1">
      <c r="A33" s="192"/>
      <c r="B33" s="85" t="s">
        <v>214</v>
      </c>
      <c r="C33" s="86"/>
      <c r="D33" s="86">
        <f ca="1">31.1*OFFSET(D$113,MATCH($N$1,$C$113:$C$114,0)-1,0)</f>
        <v>31.1</v>
      </c>
      <c r="E33" s="86">
        <f ca="1">32.2*OFFSET(E$113,MATCH($N$1,$C$113:$C$114,0)-1,0)</f>
        <v>32.200000000000003</v>
      </c>
      <c r="F33" s="86">
        <f ca="1">17.7*OFFSET(F$113,MATCH($N$1,$C$113:$C$114,0)-1,0)</f>
        <v>17.7</v>
      </c>
      <c r="G33" s="86">
        <f ca="1">26.2*OFFSET(G$113,MATCH($N$1,$C$113:$C$114,0)-1,0)</f>
        <v>26.2</v>
      </c>
      <c r="H33" s="86">
        <f ca="1">29*OFFSET(H$113,MATCH($N$1,$C$113:$C$114,0)-1,0)</f>
        <v>29</v>
      </c>
      <c r="I33" s="86">
        <f ca="1">25.4*OFFSET(I$113,MATCH($N$1,$C$113:$C$114,0)-1,0)</f>
        <v>25.4</v>
      </c>
      <c r="J33" s="86"/>
      <c r="K33" s="86"/>
      <c r="L33" s="86"/>
      <c r="M33" s="86"/>
      <c r="N33" s="86">
        <v>12.8</v>
      </c>
      <c r="O33" s="84">
        <f t="shared" ca="1" si="0"/>
        <v>-0.58842443729903537</v>
      </c>
      <c r="P33" s="84" t="str">
        <f t="shared" si="1"/>
        <v/>
      </c>
    </row>
    <row r="34" spans="1:16" s="78" customFormat="1" ht="18" customHeight="1">
      <c r="A34" s="192"/>
      <c r="B34" s="85" t="s">
        <v>215</v>
      </c>
      <c r="C34" s="86"/>
      <c r="D34" s="86">
        <f ca="1">126.3*OFFSET(D$113,MATCH($N$1,$C$113:$C$114,0)-1,0)</f>
        <v>126.3</v>
      </c>
      <c r="E34" s="86">
        <f ca="1">133.5*OFFSET(E$113,MATCH($N$1,$C$113:$C$114,0)-1,0)</f>
        <v>133.5</v>
      </c>
      <c r="F34" s="86">
        <f ca="1">77*OFFSET(F$113,MATCH($N$1,$C$113:$C$114,0)-1,0)</f>
        <v>77</v>
      </c>
      <c r="G34" s="86">
        <f ca="1">106.9*OFFSET(G$113,MATCH($N$1,$C$113:$C$114,0)-1,0)</f>
        <v>106.9</v>
      </c>
      <c r="H34" s="86">
        <f ca="1">115.1*OFFSET(H$113,MATCH($N$1,$C$113:$C$114,0)-1,0)</f>
        <v>115.1</v>
      </c>
      <c r="I34" s="86">
        <f ca="1">103.4*OFFSET(I$113,MATCH($N$1,$C$113:$C$114,0)-1,0)</f>
        <v>103.4</v>
      </c>
      <c r="J34" s="86">
        <f ca="1">102.7*OFFSET(J$113,MATCH($N$1,$C$113:$C$114,0)-1,0)</f>
        <v>102.7</v>
      </c>
      <c r="K34" s="86">
        <f ca="1">47.1*OFFSET(K$113,MATCH($N$1,$C$113:$C$114,0)-1,0)</f>
        <v>47.1</v>
      </c>
      <c r="L34" s="86">
        <f ca="1">58.9*OFFSET(L$113,MATCH($N$1,$C$113:$C$114,0)-1,0)</f>
        <v>58.9</v>
      </c>
      <c r="M34" s="86">
        <f ca="1">50.8*OFFSET(M$113,MATCH($N$1,$C$113:$C$114,0)-1,0)</f>
        <v>50.8</v>
      </c>
      <c r="N34" s="86">
        <v>73.3</v>
      </c>
      <c r="O34" s="84">
        <f t="shared" ca="1" si="0"/>
        <v>-0.41963578780680921</v>
      </c>
      <c r="P34" s="84">
        <f t="shared" ca="1" si="1"/>
        <v>-0.28627069133398253</v>
      </c>
    </row>
    <row r="35" spans="1:16" s="78" customFormat="1" ht="18" customHeight="1">
      <c r="A35" s="192"/>
      <c r="B35" s="85" t="s">
        <v>216</v>
      </c>
      <c r="C35" s="86"/>
      <c r="D35" s="86">
        <f ca="1">14.8*OFFSET(D$113,MATCH($N$1,$C$113:$C$114,0)-1,0)</f>
        <v>14.8</v>
      </c>
      <c r="E35" s="86">
        <f ca="1">15.4*OFFSET(E$113,MATCH($N$1,$C$113:$C$114,0)-1,0)</f>
        <v>15.4</v>
      </c>
      <c r="F35" s="86">
        <f ca="1">8.4*OFFSET(F$113,MATCH($N$1,$C$113:$C$114,0)-1,0)</f>
        <v>8.4</v>
      </c>
      <c r="G35" s="86">
        <f ca="1">12.5*OFFSET(G$113,MATCH($N$1,$C$113:$C$114,0)-1,0)</f>
        <v>12.5</v>
      </c>
      <c r="H35" s="86">
        <f ca="1">13.9*OFFSET(H$113,MATCH($N$1,$C$113:$C$114,0)-1,0)</f>
        <v>13.9</v>
      </c>
      <c r="I35" s="86">
        <f ca="1">12.1*OFFSET(I$113,MATCH($N$1,$C$113:$C$114,0)-1,0)</f>
        <v>12.1</v>
      </c>
      <c r="J35" s="86">
        <f ca="1">19.3*OFFSET(J$113,MATCH($N$1,$C$113:$C$114,0)-1,0)</f>
        <v>19.3</v>
      </c>
      <c r="K35" s="86">
        <f ca="1">23.6*OFFSET(K$113,MATCH($N$1,$C$113:$C$114,0)-1,0)</f>
        <v>23.6</v>
      </c>
      <c r="L35" s="86">
        <f ca="1">47.9*OFFSET(L$113,MATCH($N$1,$C$113:$C$114,0)-1,0)</f>
        <v>47.9</v>
      </c>
      <c r="M35" s="86">
        <f ca="1">15.3*OFFSET(M$113,MATCH($N$1,$C$113:$C$114,0)-1,0)</f>
        <v>15.3</v>
      </c>
      <c r="N35" s="86">
        <v>13.3</v>
      </c>
      <c r="O35" s="84">
        <f t="shared" ca="1" si="0"/>
        <v>-0.10135135135135134</v>
      </c>
      <c r="P35" s="84">
        <f t="shared" ca="1" si="1"/>
        <v>-0.31088082901554404</v>
      </c>
    </row>
    <row r="36" spans="1:16" s="78" customFormat="1" ht="18" customHeight="1">
      <c r="A36" s="192"/>
      <c r="B36" s="85" t="s">
        <v>217</v>
      </c>
      <c r="C36" s="86"/>
      <c r="D36" s="86">
        <f ca="1">141.1*OFFSET(D$113,MATCH($N$1,$C$113:$C$114,0)-1,0)</f>
        <v>141.1</v>
      </c>
      <c r="E36" s="86">
        <f ca="1">148.9*OFFSET(E$113,MATCH($N$1,$C$113:$C$114,0)-1,0)</f>
        <v>148.9</v>
      </c>
      <c r="F36" s="86">
        <f ca="1">85.4*OFFSET(F$113,MATCH($N$1,$C$113:$C$114,0)-1,0)</f>
        <v>85.4</v>
      </c>
      <c r="G36" s="86">
        <f ca="1">119.4*OFFSET(G$113,MATCH($N$1,$C$113:$C$114,0)-1,0)</f>
        <v>119.4</v>
      </c>
      <c r="H36" s="86">
        <f ca="1">128.9*OFFSET(H$113,MATCH($N$1,$C$113:$C$114,0)-1,0)</f>
        <v>128.9</v>
      </c>
      <c r="I36" s="86">
        <f ca="1">115.5*OFFSET(I$113,MATCH($N$1,$C$113:$C$114,0)-1,0)</f>
        <v>115.5</v>
      </c>
      <c r="J36" s="86">
        <f ca="1">122*OFFSET(J$113,MATCH($N$1,$C$113:$C$114,0)-1,0)</f>
        <v>122</v>
      </c>
      <c r="K36" s="86">
        <f ca="1">70.7*OFFSET(K$113,MATCH($N$1,$C$113:$C$114,0)-1,0)</f>
        <v>70.7</v>
      </c>
      <c r="L36" s="86">
        <f ca="1">106.8*OFFSET(L$113,MATCH($N$1,$C$113:$C$114,0)-1,0)</f>
        <v>106.8</v>
      </c>
      <c r="M36" s="86">
        <f ca="1">66*OFFSET(M$113,MATCH($N$1,$C$113:$C$114,0)-1,0)</f>
        <v>66</v>
      </c>
      <c r="N36" s="86">
        <v>86.600000000000009</v>
      </c>
      <c r="O36" s="84">
        <f t="shared" ca="1" si="0"/>
        <v>-0.38625088589652717</v>
      </c>
      <c r="P36" s="84">
        <f t="shared" ca="1" si="1"/>
        <v>-0.29016393442622945</v>
      </c>
    </row>
    <row r="37" spans="1:16" s="78" customFormat="1" ht="18" customHeight="1">
      <c r="A37" s="192"/>
      <c r="B37" s="87" t="s">
        <v>218</v>
      </c>
      <c r="C37" s="88"/>
      <c r="D37" s="88">
        <f ca="1">45.5*OFFSET(D$113,MATCH($N$1,$C$113:$C$114,0)-1,0)</f>
        <v>45.5</v>
      </c>
      <c r="E37" s="88">
        <f ca="1">31.9*OFFSET(E$113,MATCH($N$1,$C$113:$C$114,0)-1,0)</f>
        <v>31.9</v>
      </c>
      <c r="F37" s="88">
        <f ca="1">-3*OFFSET(F$113,MATCH($N$1,$C$113:$C$114,0)-1,0)</f>
        <v>-3</v>
      </c>
      <c r="G37" s="88">
        <f ca="1">34.2*OFFSET(G$113,MATCH($N$1,$C$113:$C$114,0)-1,0)</f>
        <v>34.200000000000003</v>
      </c>
      <c r="H37" s="88">
        <f ca="1">58.1*OFFSET(H$113,MATCH($N$1,$C$113:$C$114,0)-1,0)</f>
        <v>58.1</v>
      </c>
      <c r="I37" s="88">
        <f ca="1">34.7*OFFSET(I$113,MATCH($N$1,$C$113:$C$114,0)-1,0)</f>
        <v>34.700000000000003</v>
      </c>
      <c r="J37" s="88">
        <f ca="1">52.2*OFFSET(J$113,MATCH($N$1,$C$113:$C$114,0)-1,0)</f>
        <v>52.2</v>
      </c>
      <c r="K37" s="88">
        <f ca="1">-2.6*OFFSET(K$113,MATCH($N$1,$C$113:$C$114,0)-1,0)</f>
        <v>-2.6</v>
      </c>
      <c r="L37" s="88">
        <f ca="1">40.3*OFFSET(L$113,MATCH($N$1,$C$113:$C$114,0)-1,0)</f>
        <v>40.299999999999997</v>
      </c>
      <c r="M37" s="88">
        <f ca="1">19*OFFSET(M$113,MATCH($N$1,$C$113:$C$114,0)-1,0)</f>
        <v>19</v>
      </c>
      <c r="N37" s="88">
        <v>-12.799999999999997</v>
      </c>
      <c r="O37" s="84">
        <f t="shared" ca="1" si="0"/>
        <v>-1.2813186813186812</v>
      </c>
      <c r="P37" s="84">
        <f t="shared" ca="1" si="1"/>
        <v>-1.2452107279693485</v>
      </c>
    </row>
    <row r="38" spans="1:16" s="78" customFormat="1" ht="18" customHeight="1">
      <c r="A38" s="192"/>
      <c r="B38" s="87" t="s">
        <v>219</v>
      </c>
      <c r="C38" s="88"/>
      <c r="D38" s="88">
        <f ca="1">-1.6*OFFSET(D$113,MATCH($N$1,$C$113:$C$114,0)-1,0)</f>
        <v>-1.6</v>
      </c>
      <c r="E38" s="88">
        <f ca="1">-4.4*OFFSET(E$113,MATCH($N$1,$C$113:$C$114,0)-1,0)</f>
        <v>-4.4000000000000004</v>
      </c>
      <c r="F38" s="88">
        <f ca="1">-6.1*OFFSET(F$113,MATCH($N$1,$C$113:$C$114,0)-1,0)</f>
        <v>-6.1</v>
      </c>
      <c r="G38" s="88">
        <f ca="1">-2.1*OFFSET(G$113,MATCH($N$1,$C$113:$C$114,0)-1,0)</f>
        <v>-2.1</v>
      </c>
      <c r="H38" s="88">
        <f ca="1">1.3*OFFSET(H$113,MATCH($N$1,$C$113:$C$114,0)-1,0)</f>
        <v>1.3</v>
      </c>
      <c r="I38" s="88">
        <f ca="1">-1.7*OFFSET(I$113,MATCH($N$1,$C$113:$C$114,0)-1,0)</f>
        <v>-1.7</v>
      </c>
      <c r="J38" s="88">
        <f ca="1">-5.6*OFFSET(J$113,MATCH($N$1,$C$113:$C$114,0)-1,0)</f>
        <v>-5.6</v>
      </c>
      <c r="K38" s="88">
        <f ca="1">-19.1*OFFSET(K$113,MATCH($N$1,$C$113:$C$114,0)-1,0)</f>
        <v>-19.100000000000001</v>
      </c>
      <c r="L38" s="88">
        <f ca="1">6.8*OFFSET(L$113,MATCH($N$1,$C$113:$C$114,0)-1,0)</f>
        <v>6.8</v>
      </c>
      <c r="M38" s="88">
        <f ca="1">-1.6*OFFSET(M$113,MATCH($N$1,$C$113:$C$114,0)-1,0)</f>
        <v>-1.6</v>
      </c>
      <c r="N38" s="88">
        <v>-30.7</v>
      </c>
      <c r="O38" s="84">
        <f t="shared" ca="1" si="0"/>
        <v>-18.187499999999996</v>
      </c>
      <c r="P38" s="84">
        <f t="shared" ca="1" si="1"/>
        <v>-4.4821428571428577</v>
      </c>
    </row>
    <row r="39" spans="1:16" s="78" customFormat="1" ht="18" customHeight="1">
      <c r="A39" s="192"/>
      <c r="B39" s="85" t="s">
        <v>220</v>
      </c>
      <c r="C39" s="86"/>
      <c r="D39" s="86">
        <f ca="1">23*OFFSET(D$113,MATCH($N$1,$C$113:$C$114,0)-1,0)</f>
        <v>23</v>
      </c>
      <c r="E39" s="86"/>
      <c r="F39" s="86"/>
      <c r="G39" s="86"/>
      <c r="H39" s="86"/>
      <c r="I39" s="86"/>
      <c r="J39" s="86">
        <f ca="1">12.9*OFFSET(J$113,MATCH($N$1,$C$113:$C$114,0)-1,0)</f>
        <v>12.9</v>
      </c>
      <c r="K39" s="86">
        <f ca="1">16*OFFSET(K$113,MATCH($N$1,$C$113:$C$114,0)-1,0)</f>
        <v>16</v>
      </c>
      <c r="L39" s="86"/>
      <c r="M39" s="86">
        <f ca="1">26.7*OFFSET(M$113,MATCH($N$1,$C$113:$C$114,0)-1,0)</f>
        <v>26.7</v>
      </c>
      <c r="N39" s="86"/>
      <c r="O39" s="84" t="str">
        <f t="shared" si="0"/>
        <v/>
      </c>
      <c r="P39" s="84" t="str">
        <f t="shared" si="1"/>
        <v/>
      </c>
    </row>
    <row r="40" spans="1:16" s="78" customFormat="1" ht="18" customHeight="1">
      <c r="A40" s="192"/>
      <c r="B40" s="85" t="s">
        <v>221</v>
      </c>
      <c r="C40" s="86"/>
      <c r="D40" s="86"/>
      <c r="E40" s="86"/>
      <c r="F40" s="86"/>
      <c r="G40" s="86"/>
      <c r="H40" s="86"/>
      <c r="I40" s="86"/>
      <c r="J40" s="86"/>
      <c r="K40" s="86"/>
      <c r="L40" s="86"/>
      <c r="M40" s="86"/>
      <c r="N40" s="86"/>
      <c r="O40" s="84" t="str">
        <f t="shared" si="0"/>
        <v/>
      </c>
      <c r="P40" s="84" t="str">
        <f t="shared" si="1"/>
        <v/>
      </c>
    </row>
    <row r="41" spans="1:16" s="78" customFormat="1" ht="18" customHeight="1">
      <c r="A41" s="192"/>
      <c r="B41" s="85" t="s">
        <v>222</v>
      </c>
      <c r="C41" s="86"/>
      <c r="D41" s="86">
        <f ca="1">0.1*OFFSET(D$113,MATCH($N$1,$C$113:$C$114,0)-1,0)</f>
        <v>0.1</v>
      </c>
      <c r="E41" s="86"/>
      <c r="F41" s="86"/>
      <c r="G41" s="86"/>
      <c r="H41" s="86"/>
      <c r="I41" s="86"/>
      <c r="J41" s="86"/>
      <c r="K41" s="86"/>
      <c r="L41" s="86"/>
      <c r="M41" s="86"/>
      <c r="N41" s="86"/>
      <c r="O41" s="84" t="str">
        <f t="shared" si="0"/>
        <v/>
      </c>
      <c r="P41" s="84" t="str">
        <f t="shared" si="1"/>
        <v/>
      </c>
    </row>
    <row r="42" spans="1:16" s="78" customFormat="1" ht="18" customHeight="1" thickBot="1">
      <c r="A42" s="193"/>
      <c r="B42" s="89" t="s">
        <v>223</v>
      </c>
      <c r="C42" s="90"/>
      <c r="D42" s="90">
        <f ca="1">-24.7*OFFSET(D$113,MATCH($N$1,$C$113:$C$114,0)-1,0)</f>
        <v>-24.7</v>
      </c>
      <c r="E42" s="90"/>
      <c r="F42" s="90"/>
      <c r="G42" s="90"/>
      <c r="H42" s="90"/>
      <c r="I42" s="90"/>
      <c r="J42" s="90">
        <f ca="1">-18.5*OFFSET(J$113,MATCH($N$1,$C$113:$C$114,0)-1,0)</f>
        <v>-18.5</v>
      </c>
      <c r="K42" s="90">
        <f ca="1">-35.1*OFFSET(K$113,MATCH($N$1,$C$113:$C$114,0)-1,0)</f>
        <v>-35.1</v>
      </c>
      <c r="L42" s="90"/>
      <c r="M42" s="90">
        <f ca="1">-28.3*OFFSET(M$113,MATCH($N$1,$C$113:$C$114,0)-1,0)</f>
        <v>-28.3</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157</v>
      </c>
      <c r="F47" s="99" t="s">
        <v>157</v>
      </c>
      <c r="G47" s="99" t="s">
        <v>157</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North Sea beam trawl under 300kW</v>
      </c>
      <c r="C49" s="101"/>
      <c r="D49" s="101"/>
      <c r="E49" s="101"/>
      <c r="F49" s="101"/>
      <c r="G49" s="101"/>
      <c r="K49" s="101" t="str">
        <f>$B25&amp;CHAR(10)&amp;$A$1</f>
        <v>Operating profit per kW day at sea (£)
North Sea beam trawl under 300kW</v>
      </c>
    </row>
    <row r="50" spans="1:11" s="78" customFormat="1">
      <c r="A50" s="101" t="str">
        <f>$B23&amp;CHAR(10)&amp;$A$1</f>
        <v>Fishing income per kW day at sea (£)
North Sea beam trawl under 300kW</v>
      </c>
    </row>
    <row r="51" spans="1:11" s="78" customFormat="1">
      <c r="A51" s="101" t="str">
        <f>$B21&amp;CHAR(10)&amp;$A$1</f>
        <v>Average price per tonne landed (£)
North Sea beam trawl under 300kW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North Sea beam trawl under 300kW</v>
      </c>
      <c r="F63" s="101" t="str">
        <f>$B21&amp;CHAR(10)&amp;$A$1</f>
        <v>Average price per tonne landed (£)
North Sea beam trawl under 300kW</v>
      </c>
      <c r="K63" s="101" t="str">
        <f>"Average annual operating profit per vessel (£'000)"&amp;CHAR(10)&amp;$A$1</f>
        <v>Average annual operating profit per vessel (£'000)
North Sea beam trawl under 300kW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North Sea beam trawl under 300kW</v>
      </c>
      <c r="F77" s="101" t="str">
        <f>"Top 5 landed species by value in "&amp;A78&amp;CHAR(10)&amp;A1</f>
        <v>Top 5 landed species by value in 2021
North Sea beam trawl under 300kW</v>
      </c>
    </row>
    <row r="78" spans="1:11" s="101" customFormat="1">
      <c r="A78" s="101">
        <v>2021</v>
      </c>
      <c r="B78" s="101" t="s">
        <v>411</v>
      </c>
      <c r="C78" s="102">
        <v>0.94708553608827628</v>
      </c>
      <c r="D78" s="103">
        <v>12153634</v>
      </c>
      <c r="G78" s="101" t="s">
        <v>412</v>
      </c>
      <c r="H78" s="102">
        <v>0.96446826445051159</v>
      </c>
      <c r="I78" s="103">
        <v>12153634</v>
      </c>
      <c r="K78" s="101" t="s">
        <v>237</v>
      </c>
    </row>
    <row r="79" spans="1:11" s="101" customFormat="1">
      <c r="B79" s="101" t="s">
        <v>413</v>
      </c>
      <c r="C79" s="102">
        <v>5.1036900181756113E-2</v>
      </c>
      <c r="D79" s="103">
        <v>553960</v>
      </c>
      <c r="G79" s="101" t="s">
        <v>414</v>
      </c>
      <c r="H79" s="102">
        <v>3.337957268002708E-2</v>
      </c>
      <c r="I79" s="103">
        <v>553960</v>
      </c>
    </row>
    <row r="80" spans="1:11" s="101" customFormat="1">
      <c r="B80" s="101" t="s">
        <v>415</v>
      </c>
      <c r="C80" s="102">
        <v>7.3525213759491456E-4</v>
      </c>
      <c r="D80" s="103">
        <v>3050596</v>
      </c>
      <c r="G80" s="101" t="s">
        <v>415</v>
      </c>
      <c r="H80" s="102">
        <v>1.3509893978359705E-3</v>
      </c>
      <c r="I80" s="103">
        <v>3050596</v>
      </c>
    </row>
    <row r="81" spans="1:19" s="101" customFormat="1">
      <c r="B81" s="101" t="s">
        <v>416</v>
      </c>
      <c r="C81" s="102">
        <v>3.6278890976316347E-4</v>
      </c>
      <c r="D81" s="103">
        <v>11115023</v>
      </c>
      <c r="G81" s="101" t="s">
        <v>417</v>
      </c>
      <c r="H81" s="102">
        <v>2.4849486492599339E-4</v>
      </c>
      <c r="I81" s="103">
        <v>1692097</v>
      </c>
    </row>
    <row r="82" spans="1:19" s="101" customFormat="1">
      <c r="B82" s="101" t="s">
        <v>417</v>
      </c>
      <c r="C82" s="102">
        <v>3.0474267699308956E-4</v>
      </c>
      <c r="D82" s="103">
        <v>1692097</v>
      </c>
      <c r="G82" s="101" t="s">
        <v>418</v>
      </c>
      <c r="H82" s="102">
        <v>1.4889161747037903E-4</v>
      </c>
      <c r="I82" s="103">
        <v>3689192</v>
      </c>
    </row>
    <row r="83" spans="1:19" s="101" customFormat="1">
      <c r="B83" s="101" t="s">
        <v>419</v>
      </c>
      <c r="C83" s="102">
        <v>4.7478000561640421E-4</v>
      </c>
      <c r="D83" s="103">
        <v>5920853</v>
      </c>
      <c r="G83" s="101" t="s">
        <v>419</v>
      </c>
      <c r="H83" s="102">
        <v>4.037869892290491E-4</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170</v>
      </c>
      <c r="D93" s="107">
        <v>0.86021385990708921</v>
      </c>
      <c r="E93" s="107">
        <v>0.82549123139680181</v>
      </c>
      <c r="F93" s="107">
        <v>0.58752159006386417</v>
      </c>
      <c r="G93" s="107">
        <v>0.90840680058110945</v>
      </c>
      <c r="H93" s="107">
        <v>0.97769173198062409</v>
      </c>
      <c r="I93" s="107">
        <v>0.99662054785034349</v>
      </c>
      <c r="J93" s="107">
        <v>0.82312479124538529</v>
      </c>
      <c r="K93" s="107">
        <v>0.96993800644128869</v>
      </c>
      <c r="L93" s="107">
        <v>0.96446826445051159</v>
      </c>
      <c r="M93" s="107">
        <v>0.90041570624598533</v>
      </c>
      <c r="O93" s="101">
        <v>12153634</v>
      </c>
    </row>
    <row r="94" spans="1:19" s="101" customFormat="1" hidden="1">
      <c r="B94" s="101">
        <v>2</v>
      </c>
      <c r="C94" s="101" t="s">
        <v>176</v>
      </c>
      <c r="D94" s="107"/>
      <c r="E94" s="107">
        <v>6.1941782503634338E-3</v>
      </c>
      <c r="F94" s="107">
        <v>0.17309302293875659</v>
      </c>
      <c r="G94" s="107">
        <v>2.8503371003048023E-2</v>
      </c>
      <c r="H94" s="107">
        <v>1.9761490632991E-2</v>
      </c>
      <c r="I94" s="107"/>
      <c r="J94" s="107"/>
      <c r="K94" s="107"/>
      <c r="L94" s="107">
        <v>3.337957268002708E-2</v>
      </c>
      <c r="M94" s="107"/>
      <c r="O94" s="101">
        <v>553960</v>
      </c>
    </row>
    <row r="95" spans="1:19" s="101" customFormat="1" hidden="1">
      <c r="B95" s="101">
        <v>3</v>
      </c>
      <c r="C95" s="101" t="s">
        <v>175</v>
      </c>
      <c r="D95" s="107">
        <v>2.3902283170617496E-2</v>
      </c>
      <c r="E95" s="107"/>
      <c r="F95" s="107"/>
      <c r="G95" s="107"/>
      <c r="H95" s="107"/>
      <c r="I95" s="107">
        <v>1.7621714488039549E-4</v>
      </c>
      <c r="J95" s="107">
        <v>2.0434626867137872E-3</v>
      </c>
      <c r="K95" s="107">
        <v>2.0457887366125832E-3</v>
      </c>
      <c r="L95" s="107">
        <v>1.3509893978359705E-3</v>
      </c>
      <c r="M95" s="107"/>
      <c r="O95" s="101">
        <v>3050596</v>
      </c>
    </row>
    <row r="96" spans="1:19" s="101" customFormat="1" hidden="1">
      <c r="B96" s="101">
        <v>4</v>
      </c>
      <c r="C96" s="101" t="s">
        <v>250</v>
      </c>
      <c r="D96" s="107">
        <v>5.2218645734163072E-3</v>
      </c>
      <c r="E96" s="107"/>
      <c r="F96" s="107"/>
      <c r="G96" s="107"/>
      <c r="H96" s="107"/>
      <c r="I96" s="107"/>
      <c r="J96" s="107"/>
      <c r="K96" s="107">
        <v>4.8314040406050431E-4</v>
      </c>
      <c r="L96" s="107">
        <v>2.4849486492599339E-4</v>
      </c>
      <c r="M96" s="107"/>
      <c r="O96" s="101">
        <v>1692097</v>
      </c>
    </row>
    <row r="97" spans="1:15" s="101" customFormat="1" hidden="1">
      <c r="B97" s="101">
        <v>5</v>
      </c>
      <c r="C97" s="101" t="s">
        <v>337</v>
      </c>
      <c r="D97" s="107"/>
      <c r="E97" s="107"/>
      <c r="F97" s="107"/>
      <c r="G97" s="107"/>
      <c r="H97" s="107"/>
      <c r="I97" s="107"/>
      <c r="J97" s="107"/>
      <c r="K97" s="107"/>
      <c r="L97" s="107">
        <v>1.4889161747037903E-4</v>
      </c>
      <c r="M97" s="107"/>
      <c r="O97" s="101">
        <v>3689192</v>
      </c>
    </row>
    <row r="98" spans="1:15" s="101" customFormat="1" hidden="1">
      <c r="B98" s="101">
        <v>6</v>
      </c>
      <c r="C98" s="101" t="s">
        <v>308</v>
      </c>
      <c r="D98" s="107"/>
      <c r="E98" s="107">
        <v>8.5025511785469451E-3</v>
      </c>
      <c r="F98" s="107">
        <v>7.0390720866690085E-2</v>
      </c>
      <c r="G98" s="107">
        <v>4.4407191912385471E-2</v>
      </c>
      <c r="H98" s="107"/>
      <c r="I98" s="107">
        <v>6.2257738603615522E-5</v>
      </c>
      <c r="J98" s="107">
        <v>0.12159645705616602</v>
      </c>
      <c r="K98" s="107">
        <v>2.4425860117960677E-2</v>
      </c>
      <c r="L98" s="107"/>
      <c r="M98" s="107"/>
      <c r="O98" s="101">
        <v>11115023</v>
      </c>
    </row>
    <row r="99" spans="1:15" s="101" customFormat="1" hidden="1">
      <c r="B99" s="101">
        <v>7</v>
      </c>
      <c r="C99" s="101" t="s">
        <v>169</v>
      </c>
      <c r="D99" s="107"/>
      <c r="E99" s="107"/>
      <c r="F99" s="107"/>
      <c r="G99" s="107"/>
      <c r="H99" s="107"/>
      <c r="I99" s="107"/>
      <c r="J99" s="107"/>
      <c r="K99" s="107">
        <v>1.8215084770952785E-3</v>
      </c>
      <c r="L99" s="107"/>
      <c r="M99" s="107"/>
      <c r="O99" s="101">
        <v>2480382</v>
      </c>
    </row>
    <row r="100" spans="1:15" s="101" customFormat="1" hidden="1">
      <c r="B100" s="101">
        <v>8</v>
      </c>
      <c r="C100" s="101" t="s">
        <v>174</v>
      </c>
      <c r="D100" s="107"/>
      <c r="E100" s="107"/>
      <c r="F100" s="107"/>
      <c r="G100" s="107"/>
      <c r="H100" s="107"/>
      <c r="I100" s="107"/>
      <c r="J100" s="107">
        <v>3.4972799658942635E-2</v>
      </c>
      <c r="K100" s="107"/>
      <c r="L100" s="107"/>
      <c r="M100" s="107"/>
      <c r="O100" s="101">
        <v>7434864</v>
      </c>
    </row>
    <row r="101" spans="1:15" s="101" customFormat="1" hidden="1">
      <c r="B101" s="101">
        <v>9</v>
      </c>
      <c r="C101" s="101" t="s">
        <v>166</v>
      </c>
      <c r="D101" s="107"/>
      <c r="E101" s="107"/>
      <c r="F101" s="107"/>
      <c r="G101" s="107"/>
      <c r="H101" s="107"/>
      <c r="I101" s="107"/>
      <c r="J101" s="107">
        <v>1.8101905407144212E-2</v>
      </c>
      <c r="K101" s="107"/>
      <c r="L101" s="107"/>
      <c r="M101" s="107"/>
      <c r="O101" s="101">
        <v>8497745</v>
      </c>
    </row>
    <row r="102" spans="1:15" s="101" customFormat="1" hidden="1">
      <c r="B102" s="101">
        <v>10</v>
      </c>
      <c r="C102" s="101" t="s">
        <v>384</v>
      </c>
      <c r="D102" s="107">
        <v>9.7772231052043232E-2</v>
      </c>
      <c r="E102" s="107">
        <v>0.14273414139646146</v>
      </c>
      <c r="F102" s="107">
        <v>0.16625556390344598</v>
      </c>
      <c r="G102" s="107"/>
      <c r="H102" s="107">
        <v>2.5467246003201597E-3</v>
      </c>
      <c r="I102" s="107">
        <v>2.7078232119932596E-3</v>
      </c>
      <c r="J102" s="107"/>
      <c r="K102" s="107"/>
      <c r="L102" s="107"/>
      <c r="M102" s="107"/>
      <c r="O102" s="101">
        <v>14393110</v>
      </c>
    </row>
    <row r="103" spans="1:15" s="101" customFormat="1" hidden="1">
      <c r="B103" s="101">
        <v>11</v>
      </c>
      <c r="C103" s="101" t="s">
        <v>168</v>
      </c>
      <c r="D103" s="107"/>
      <c r="E103" s="107"/>
      <c r="F103" s="107"/>
      <c r="G103" s="107"/>
      <c r="H103" s="107"/>
      <c r="I103" s="107">
        <v>3.8814204480728843E-4</v>
      </c>
      <c r="J103" s="107"/>
      <c r="K103" s="107"/>
      <c r="L103" s="107"/>
      <c r="M103" s="107"/>
      <c r="O103" s="101">
        <v>2887140</v>
      </c>
    </row>
    <row r="104" spans="1:15" s="101" customFormat="1" hidden="1">
      <c r="B104" s="101">
        <v>12</v>
      </c>
      <c r="C104" s="101" t="s">
        <v>159</v>
      </c>
      <c r="D104" s="107"/>
      <c r="E104" s="107"/>
      <c r="F104" s="107"/>
      <c r="G104" s="107">
        <v>1.4567478344621194E-2</v>
      </c>
      <c r="H104" s="107"/>
      <c r="I104" s="107"/>
      <c r="J104" s="107"/>
      <c r="K104" s="107"/>
      <c r="L104" s="107"/>
      <c r="M104" s="107"/>
      <c r="O104" s="101">
        <v>15057844</v>
      </c>
    </row>
    <row r="105" spans="1:15" s="101" customFormat="1" hidden="1">
      <c r="B105" s="101">
        <v>13</v>
      </c>
      <c r="C105" s="101" t="s">
        <v>172</v>
      </c>
      <c r="D105" s="107"/>
      <c r="E105" s="107"/>
      <c r="F105" s="107"/>
      <c r="G105" s="107">
        <v>1.4274044277234835E-3</v>
      </c>
      <c r="H105" s="107"/>
      <c r="I105" s="107"/>
      <c r="J105" s="107"/>
      <c r="K105" s="107"/>
      <c r="L105" s="107"/>
      <c r="M105" s="107"/>
      <c r="O105" s="101">
        <v>10603512</v>
      </c>
    </row>
    <row r="106" spans="1:15" s="101" customFormat="1" hidden="1">
      <c r="B106" s="101">
        <v>14</v>
      </c>
      <c r="C106" s="101" t="s">
        <v>420</v>
      </c>
      <c r="D106" s="107">
        <v>7.5626714770666379E-3</v>
      </c>
      <c r="E106" s="107">
        <v>1.0064324158753774E-2</v>
      </c>
      <c r="F106" s="107">
        <v>2.7391022272431113E-3</v>
      </c>
      <c r="G106" s="107"/>
      <c r="H106" s="107"/>
      <c r="I106" s="107"/>
      <c r="J106" s="107"/>
      <c r="K106" s="107"/>
      <c r="L106" s="107"/>
      <c r="M106" s="107"/>
      <c r="O106" s="101">
        <v>10931653</v>
      </c>
    </row>
    <row r="107" spans="1:15" s="101" customFormat="1" hidden="1">
      <c r="B107" s="101">
        <v>15</v>
      </c>
      <c r="C107" s="101" t="s">
        <v>251</v>
      </c>
      <c r="D107" s="107">
        <v>5.3270898197671111E-3</v>
      </c>
      <c r="E107" s="107">
        <v>7.0135736190726234E-3</v>
      </c>
      <c r="F107" s="107">
        <v>0</v>
      </c>
      <c r="G107" s="107">
        <v>2.6877537311123406E-3</v>
      </c>
      <c r="H107" s="107">
        <v>5.2786064738778822E-8</v>
      </c>
      <c r="I107" s="107">
        <v>4.5012009371946763E-5</v>
      </c>
      <c r="J107" s="107">
        <v>1.6058394564809952E-4</v>
      </c>
      <c r="K107" s="107">
        <v>1.2856958229822931E-3</v>
      </c>
      <c r="L107" s="107">
        <v>4.0378698922901565E-4</v>
      </c>
      <c r="M107" s="107">
        <v>-3.4918039678904879E-8</v>
      </c>
      <c r="O107" s="101">
        <v>5920853</v>
      </c>
    </row>
    <row r="108" spans="1:15" s="101" customFormat="1" hidden="1">
      <c r="B108" s="101">
        <v>16</v>
      </c>
      <c r="D108" s="107"/>
      <c r="E108" s="107"/>
      <c r="F108" s="107"/>
      <c r="G108" s="107"/>
      <c r="H108" s="107">
        <v>0</v>
      </c>
      <c r="I108" s="107"/>
      <c r="J108" s="107"/>
      <c r="K108" s="107"/>
      <c r="L108" s="107"/>
      <c r="M108" s="107">
        <v>0</v>
      </c>
      <c r="O108" s="101">
        <v>5920853</v>
      </c>
    </row>
    <row r="109" spans="1:15" s="101" customFormat="1" hidden="1">
      <c r="B109" s="101">
        <v>17</v>
      </c>
      <c r="D109" s="107"/>
      <c r="E109" s="107"/>
      <c r="F109" s="107"/>
      <c r="G109" s="107"/>
      <c r="H109" s="107">
        <v>0</v>
      </c>
      <c r="I109" s="107"/>
      <c r="J109" s="107"/>
      <c r="K109" s="107"/>
      <c r="L109" s="107"/>
      <c r="M109" s="107">
        <v>0</v>
      </c>
      <c r="O109" s="101">
        <v>0</v>
      </c>
    </row>
    <row r="110" spans="1:15" s="101" customFormat="1" hidden="1">
      <c r="B110" s="101">
        <v>18</v>
      </c>
      <c r="D110" s="107"/>
      <c r="E110" s="107"/>
      <c r="F110" s="107"/>
      <c r="G110" s="107"/>
      <c r="H110" s="107">
        <v>0</v>
      </c>
      <c r="I110" s="107"/>
      <c r="J110" s="107"/>
      <c r="K110" s="107"/>
      <c r="L110" s="107"/>
      <c r="M110" s="107">
        <v>0</v>
      </c>
      <c r="O110" s="101">
        <v>0</v>
      </c>
    </row>
    <row r="111" spans="1:15" s="101" customFormat="1" hidden="1">
      <c r="B111" s="101">
        <v>19</v>
      </c>
      <c r="D111" s="107"/>
      <c r="E111" s="107"/>
      <c r="F111" s="107"/>
      <c r="G111" s="107"/>
      <c r="H111" s="107">
        <v>0</v>
      </c>
      <c r="I111" s="107"/>
      <c r="J111" s="107"/>
      <c r="K111" s="107"/>
      <c r="L111" s="107"/>
      <c r="M111" s="107">
        <v>0</v>
      </c>
      <c r="O111" s="101">
        <v>0</v>
      </c>
    </row>
    <row r="112" spans="1:15" s="101" customFormat="1" hidden="1">
      <c r="A112" s="101">
        <v>16</v>
      </c>
      <c r="B112" s="101">
        <v>20</v>
      </c>
      <c r="D112" s="107"/>
      <c r="E112" s="107"/>
      <c r="F112" s="107"/>
      <c r="G112" s="107"/>
      <c r="H112" s="107">
        <v>0</v>
      </c>
      <c r="I112" s="107"/>
      <c r="J112" s="107"/>
      <c r="K112" s="107"/>
      <c r="L112" s="107"/>
      <c r="M112" s="107">
        <v>0</v>
      </c>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t="s">
        <v>259</v>
      </c>
      <c r="D121" s="52">
        <v>9</v>
      </c>
      <c r="E121" s="52" t="s">
        <v>259</v>
      </c>
      <c r="F121" s="53">
        <v>17</v>
      </c>
    </row>
    <row r="122" spans="1:15" ht="18" customHeight="1">
      <c r="A122" s="186" t="s">
        <v>198</v>
      </c>
      <c r="B122" s="35" t="s">
        <v>199</v>
      </c>
      <c r="C122" s="54"/>
      <c r="D122" s="54">
        <v>15.065555678473579</v>
      </c>
      <c r="E122" s="54"/>
      <c r="F122" s="55">
        <v>14.078235626220703</v>
      </c>
    </row>
    <row r="123" spans="1:15" ht="18" customHeight="1">
      <c r="A123" s="187"/>
      <c r="B123" s="37" t="s">
        <v>190</v>
      </c>
      <c r="C123" s="56"/>
      <c r="D123" s="56">
        <v>199.77778116861978</v>
      </c>
      <c r="E123" s="56"/>
      <c r="F123" s="57">
        <v>196.94117736816406</v>
      </c>
    </row>
    <row r="124" spans="1:15" ht="18" customHeight="1">
      <c r="A124" s="187"/>
      <c r="B124" s="37" t="s">
        <v>191</v>
      </c>
      <c r="C124" s="56"/>
      <c r="D124" s="56">
        <v>29.44444465637207</v>
      </c>
      <c r="E124" s="56"/>
      <c r="F124" s="57">
        <v>25.823530197143555</v>
      </c>
    </row>
    <row r="125" spans="1:15" ht="18" customHeight="1">
      <c r="A125" s="187"/>
      <c r="B125" s="37" t="s">
        <v>192</v>
      </c>
      <c r="C125" s="56"/>
      <c r="D125" s="56">
        <v>168.25038655598959</v>
      </c>
      <c r="E125" s="56"/>
      <c r="F125" s="57">
        <v>161.76573181152344</v>
      </c>
    </row>
    <row r="126" spans="1:15" ht="18" customHeight="1">
      <c r="A126" s="187"/>
      <c r="B126" s="37" t="s">
        <v>193</v>
      </c>
      <c r="C126" s="33"/>
      <c r="D126" s="33">
        <v>28.87262174818251</v>
      </c>
      <c r="E126" s="33"/>
      <c r="F126" s="58">
        <v>24.321388244628906</v>
      </c>
    </row>
    <row r="127" spans="1:15" ht="18" customHeight="1">
      <c r="A127" s="187"/>
      <c r="B127" s="37" t="s">
        <v>200</v>
      </c>
      <c r="C127" s="33"/>
      <c r="D127" s="33">
        <f ca="1">76.6763324652778*OFFSET($L$113,MATCH($N$1,$C$113:$C$114,0)-1,0)</f>
        <v>76.676332465277795</v>
      </c>
      <c r="E127" s="33"/>
      <c r="F127" s="58">
        <f ca="1">64.44094921875*OFFSET($L$113,MATCH($N$1,$C$113:$C$114,0)-1,0)</f>
        <v>64.440949218750006</v>
      </c>
    </row>
    <row r="128" spans="1:15" ht="18" customHeight="1">
      <c r="A128" s="187"/>
      <c r="B128" s="37" t="s">
        <v>195</v>
      </c>
      <c r="C128" s="56"/>
      <c r="D128" s="56">
        <v>77.00000084771051</v>
      </c>
      <c r="E128" s="56"/>
      <c r="F128" s="57">
        <v>77.352943420410156</v>
      </c>
    </row>
    <row r="129" spans="1:15" ht="18" customHeight="1">
      <c r="A129" s="187"/>
      <c r="B129" s="37" t="s">
        <v>201</v>
      </c>
      <c r="C129" s="56"/>
      <c r="D129" s="56">
        <v>30.111111323038738</v>
      </c>
      <c r="E129" s="56"/>
      <c r="F129" s="57">
        <v>24.176469802856445</v>
      </c>
    </row>
    <row r="130" spans="1:15" ht="18" customHeight="1">
      <c r="A130" s="187"/>
      <c r="B130" s="37" t="s">
        <v>202</v>
      </c>
      <c r="C130" s="59"/>
      <c r="D130" s="59">
        <v>0.37496910948463968</v>
      </c>
      <c r="E130" s="59"/>
      <c r="F130" s="60">
        <v>0.31442096829414368</v>
      </c>
    </row>
    <row r="131" spans="1:15" ht="18" customHeight="1">
      <c r="A131" s="188"/>
      <c r="B131" s="39" t="s">
        <v>203</v>
      </c>
      <c r="C131" s="40"/>
      <c r="D131" s="40">
        <f ca="1">2655.67613270535*OFFSET($L$113,MATCH($N$1,$C$113:$C$114,0)-1,0)</f>
        <v>2655.67613270535</v>
      </c>
      <c r="E131" s="40"/>
      <c r="F131" s="61">
        <f ca="1">2650*OFFSET($L$113,MATCH($N$1,$C$113:$C$114,0)-1,0)</f>
        <v>2650</v>
      </c>
    </row>
    <row r="132" spans="1:15" ht="18" customHeight="1">
      <c r="A132" s="198" t="s">
        <v>204</v>
      </c>
      <c r="B132" s="35" t="s">
        <v>205</v>
      </c>
      <c r="C132" s="62"/>
      <c r="D132" s="62">
        <v>2.0262595205288449</v>
      </c>
      <c r="E132" s="62"/>
      <c r="F132" s="63">
        <v>1.6164181437961793</v>
      </c>
    </row>
    <row r="133" spans="1:15" ht="18" customHeight="1">
      <c r="A133" s="199"/>
      <c r="B133" s="37" t="s">
        <v>206</v>
      </c>
      <c r="C133" s="59"/>
      <c r="D133" s="59">
        <f ca="1">5.38108904733545*OFFSET($L$113,MATCH($N$1,$C$113:$C$114,0)-1,0)</f>
        <v>5.3810890473354496</v>
      </c>
      <c r="E133" s="59"/>
      <c r="F133" s="60">
        <f ca="1">4.28279498164086*OFFSET($L$113,MATCH($N$1,$C$113:$C$114,0)-1,0)</f>
        <v>4.2827949816408601</v>
      </c>
    </row>
    <row r="134" spans="1:15" ht="18" customHeight="1">
      <c r="A134" s="199"/>
      <c r="B134" s="37" t="s">
        <v>153</v>
      </c>
      <c r="C134" s="59"/>
      <c r="D134" s="59">
        <f ca="1">5.26805826615625*OFFSET($L$113,MATCH($N$1,$C$113:$C$114,0)-1,0)</f>
        <v>5.2680582661562498</v>
      </c>
      <c r="E134" s="59"/>
      <c r="F134" s="60">
        <f ca="1">4.38848862339629*OFFSET($L$113,MATCH($N$1,$C$113:$C$114,0)-1,0)</f>
        <v>4.3884886233962899</v>
      </c>
    </row>
    <row r="135" spans="1:15" ht="18" customHeight="1">
      <c r="A135" s="200"/>
      <c r="B135" s="39" t="s">
        <v>154</v>
      </c>
      <c r="C135" s="64"/>
      <c r="D135" s="64">
        <f ca="1">0.113030781179194*OFFSET($L$113,MATCH($N$1,$C$113:$C$114,0)-1,0)</f>
        <v>0.113030781179194</v>
      </c>
      <c r="E135" s="64"/>
      <c r="F135" s="65">
        <f ca="1">-0.105693641755431*OFFSET($L$113,MATCH($N$1,$C$113:$C$114,0)-1,0)</f>
        <v>-0.105693641755431</v>
      </c>
    </row>
    <row r="136" spans="1:15" ht="18" customHeight="1">
      <c r="A136" s="201" t="s">
        <v>260</v>
      </c>
      <c r="B136" s="37" t="s">
        <v>261</v>
      </c>
      <c r="C136" s="66"/>
      <c r="D136" s="66">
        <f ca="1">32.4049583333333*OFFSET($L$113,MATCH($N$1,$C$113:$C$114,0)-1,0)</f>
        <v>32.404958333333298</v>
      </c>
      <c r="E136" s="66"/>
      <c r="F136" s="67">
        <f ca="1">30.17794921875*OFFSET($L$113,MATCH($N$1,$C$113:$C$114,0)-1,0)</f>
        <v>30.177949218750001</v>
      </c>
    </row>
    <row r="137" spans="1:15" ht="18" customHeight="1">
      <c r="A137" s="202"/>
      <c r="B137" s="37" t="s">
        <v>262</v>
      </c>
      <c r="C137" s="31"/>
      <c r="D137" s="31">
        <v>66277.778533894671</v>
      </c>
      <c r="E137" s="31"/>
      <c r="F137" s="68">
        <v>63500</v>
      </c>
    </row>
    <row r="138" spans="1:15" ht="18" customHeight="1">
      <c r="A138" s="202"/>
      <c r="B138" s="37" t="s">
        <v>263</v>
      </c>
      <c r="C138" s="31"/>
      <c r="D138" s="31">
        <v>860.75036109386429</v>
      </c>
      <c r="E138" s="31"/>
      <c r="F138" s="68">
        <v>820.91253662109375</v>
      </c>
    </row>
    <row r="139" spans="1:15" ht="18" customHeight="1">
      <c r="A139" s="202"/>
      <c r="B139" s="37" t="s">
        <v>264</v>
      </c>
      <c r="C139" s="31"/>
      <c r="D139" s="31">
        <f ca="1">420.843610085452*OFFSET($L$113,MATCH($N$1,$C$113:$C$114,0)-1,0)</f>
        <v>420.84361008545199</v>
      </c>
      <c r="E139" s="31"/>
      <c r="F139" s="68">
        <f ca="1">390.133172499126*OFFSET($L$113,MATCH($N$1,$C$113:$C$114,0)-1,0)</f>
        <v>390.13317249912598</v>
      </c>
      <c r="I139" s="43"/>
      <c r="L139" s="69" t="str">
        <f>C120</f>
        <v>Most
profitable
quartile</v>
      </c>
      <c r="M139" s="69" t="str">
        <f>D120</f>
        <v>Middle
two quartiles</v>
      </c>
      <c r="N139" s="69" t="str">
        <f>E120</f>
        <v>Least
profitable
quartile</v>
      </c>
      <c r="O139" s="69"/>
    </row>
    <row r="140" spans="1:15" ht="18" customHeight="1">
      <c r="A140" s="202"/>
      <c r="B140" s="37" t="s">
        <v>265</v>
      </c>
      <c r="C140" s="31"/>
      <c r="D140" s="31">
        <f ca="1">1122.34207949519*OFFSET($L$113,MATCH($N$1,$C$113:$C$114,0)-1,0)</f>
        <v>1122.3420794951901</v>
      </c>
      <c r="E140" s="31"/>
      <c r="F140" s="68">
        <f ca="1">1240.79879467466*OFFSET($L$113,MATCH($N$1,$C$113:$C$114,0)-1,0)</f>
        <v>1240.79879467466</v>
      </c>
      <c r="I140" s="43"/>
      <c r="K140" s="69" t="s">
        <v>266</v>
      </c>
      <c r="L140" s="70">
        <f t="shared" ref="L140:M142" si="2">C141</f>
        <v>0</v>
      </c>
      <c r="M140" s="70">
        <f t="shared" ca="1" si="2"/>
        <v>76.676332465277795</v>
      </c>
      <c r="N140" s="70">
        <f>E141</f>
        <v>0</v>
      </c>
      <c r="O140" s="70"/>
    </row>
    <row r="141" spans="1:15" ht="18" customHeight="1">
      <c r="A141" s="179" t="s">
        <v>267</v>
      </c>
      <c r="B141" s="35" t="s">
        <v>268</v>
      </c>
      <c r="C141" s="71"/>
      <c r="D141" s="71">
        <f ca="1">76.6763324652778*OFFSET($L$113,MATCH($N$1,$C$113:$C$114,0)-1,0)</f>
        <v>76.676332465277795</v>
      </c>
      <c r="E141" s="71"/>
      <c r="F141" s="72">
        <f ca="1">64.44094921875*OFFSET($L$113,MATCH($N$1,$C$113:$C$114,0)-1,0)</f>
        <v>64.440949218750006</v>
      </c>
      <c r="I141" s="43"/>
      <c r="K141" s="69" t="s">
        <v>269</v>
      </c>
      <c r="L141" s="70">
        <f t="shared" si="2"/>
        <v>0</v>
      </c>
      <c r="M141" s="70">
        <f t="shared" ca="1" si="2"/>
        <v>75.065731770833295</v>
      </c>
      <c r="N141" s="70">
        <f>E142</f>
        <v>0</v>
      </c>
      <c r="O141" s="70"/>
    </row>
    <row r="142" spans="1:15" ht="18" customHeight="1">
      <c r="A142" s="180"/>
      <c r="B142" s="37" t="s">
        <v>270</v>
      </c>
      <c r="C142" s="31"/>
      <c r="D142" s="31">
        <f ca="1">75.0657317708333*OFFSET($L$113,MATCH($N$1,$C$113:$C$114,0)-1,0)</f>
        <v>75.065731770833295</v>
      </c>
      <c r="E142" s="31"/>
      <c r="F142" s="68">
        <f ca="1">66.031265625*OFFSET($L$113,MATCH($N$1,$C$113:$C$114,0)-1,0)</f>
        <v>66.031265625000003</v>
      </c>
      <c r="I142" s="43"/>
      <c r="K142" s="69" t="s">
        <v>271</v>
      </c>
      <c r="L142" s="70">
        <f t="shared" si="2"/>
        <v>0</v>
      </c>
      <c r="M142" s="70">
        <f t="shared" ca="1" si="2"/>
        <v>1.61060069444445</v>
      </c>
      <c r="N142" s="70">
        <f>E143</f>
        <v>0</v>
      </c>
      <c r="O142" s="70"/>
    </row>
    <row r="143" spans="1:15" ht="18" customHeight="1">
      <c r="A143" s="181"/>
      <c r="B143" s="39" t="s">
        <v>272</v>
      </c>
      <c r="C143" s="40"/>
      <c r="D143" s="40">
        <f ca="1">1.61060069444445*OFFSET($L$113,MATCH($N$1,$C$113:$C$114,0)-1,0)</f>
        <v>1.61060069444445</v>
      </c>
      <c r="E143" s="40"/>
      <c r="F143" s="61">
        <f ca="1">-1.59031628417969*OFFSET($L$113,MATCH($N$1,$C$113:$C$114,0)-1,0)</f>
        <v>-1.5903162841796901</v>
      </c>
      <c r="I143" s="43"/>
      <c r="K143" s="69" t="s">
        <v>273</v>
      </c>
      <c r="L143" s="73" t="str">
        <f>IFERROR(L141/L$140,"")</f>
        <v/>
      </c>
      <c r="M143" s="73">
        <f t="shared" ref="M143:N144" ca="1" si="3">IFERROR(M141/M$140,"")</f>
        <v>0.97899481309732905</v>
      </c>
      <c r="N143" s="73" t="str">
        <f t="shared" si="3"/>
        <v/>
      </c>
      <c r="O143" s="73"/>
    </row>
    <row r="144" spans="1:15" ht="18" customHeight="1">
      <c r="I144" s="43"/>
      <c r="K144" s="69" t="s">
        <v>274</v>
      </c>
      <c r="L144" s="73" t="str">
        <f>IFERROR(L142/L$140,"")</f>
        <v/>
      </c>
      <c r="M144" s="73">
        <f t="shared" ca="1" si="3"/>
        <v>2.1005186902670343E-2</v>
      </c>
      <c r="N144" s="73" t="str">
        <f t="shared" si="3"/>
        <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7</v>
      </c>
      <c r="B162" s="48"/>
      <c r="C162" s="74" t="s">
        <v>255</v>
      </c>
      <c r="D162" s="74" t="s">
        <v>276</v>
      </c>
      <c r="E162" s="74" t="s">
        <v>257</v>
      </c>
      <c r="F162" s="74" t="s">
        <v>277</v>
      </c>
      <c r="G162" s="75">
        <v>7</v>
      </c>
      <c r="H162" s="74"/>
      <c r="I162" s="74" t="s">
        <v>255</v>
      </c>
      <c r="J162" s="74" t="s">
        <v>276</v>
      </c>
      <c r="K162" s="74" t="s">
        <v>257</v>
      </c>
      <c r="L162" s="48" t="s">
        <v>277</v>
      </c>
      <c r="R162" s="21"/>
      <c r="S162" s="21"/>
    </row>
    <row r="163" spans="1:19" s="43" customFormat="1">
      <c r="A163" s="44">
        <v>1</v>
      </c>
      <c r="B163" s="48" t="s">
        <v>170</v>
      </c>
      <c r="C163" s="48">
        <v>0</v>
      </c>
      <c r="D163" s="48">
        <v>0.91580707934340932</v>
      </c>
      <c r="E163" s="48">
        <v>0</v>
      </c>
      <c r="F163" s="44">
        <v>12153634</v>
      </c>
      <c r="G163" s="44">
        <v>1</v>
      </c>
      <c r="H163" s="48" t="s">
        <v>170</v>
      </c>
      <c r="I163" s="48">
        <v>0</v>
      </c>
      <c r="J163" s="48">
        <v>0.94359471835746567</v>
      </c>
      <c r="K163" s="48">
        <v>0</v>
      </c>
      <c r="L163" s="44">
        <v>12153634</v>
      </c>
      <c r="R163" s="21"/>
      <c r="S163" s="21"/>
    </row>
    <row r="164" spans="1:19" s="43" customFormat="1">
      <c r="A164" s="44">
        <v>2</v>
      </c>
      <c r="B164" s="48" t="s">
        <v>176</v>
      </c>
      <c r="C164" s="48">
        <v>0</v>
      </c>
      <c r="D164" s="48">
        <v>8.1207004042623834E-2</v>
      </c>
      <c r="E164" s="48">
        <v>0</v>
      </c>
      <c r="F164" s="44">
        <v>553960</v>
      </c>
      <c r="G164" s="44">
        <v>2</v>
      </c>
      <c r="H164" s="48" t="s">
        <v>176</v>
      </c>
      <c r="I164" s="48">
        <v>0</v>
      </c>
      <c r="J164" s="48">
        <v>5.2989279892878466E-2</v>
      </c>
      <c r="K164" s="48">
        <v>0</v>
      </c>
      <c r="L164" s="44">
        <v>553960</v>
      </c>
      <c r="N164" s="43" t="s">
        <v>278</v>
      </c>
      <c r="R164" s="21"/>
      <c r="S164" s="21"/>
    </row>
    <row r="165" spans="1:19" s="43" customFormat="1">
      <c r="A165" s="44">
        <v>3</v>
      </c>
      <c r="B165" s="48" t="s">
        <v>175</v>
      </c>
      <c r="C165" s="48">
        <v>0</v>
      </c>
      <c r="D165" s="48">
        <v>1.1698912570587781E-3</v>
      </c>
      <c r="E165" s="48">
        <v>0</v>
      </c>
      <c r="F165" s="44">
        <v>3050596</v>
      </c>
      <c r="G165" s="44">
        <v>3</v>
      </c>
      <c r="H165" s="48" t="s">
        <v>175</v>
      </c>
      <c r="I165" s="48">
        <v>0</v>
      </c>
      <c r="J165" s="48">
        <v>2.1446636246807548E-3</v>
      </c>
      <c r="K165" s="48">
        <v>0</v>
      </c>
      <c r="L165" s="44">
        <v>3050596</v>
      </c>
      <c r="N165" s="43" t="s">
        <v>279</v>
      </c>
      <c r="R165" s="21"/>
      <c r="S165" s="21"/>
    </row>
    <row r="166" spans="1:19" s="43" customFormat="1">
      <c r="A166" s="44">
        <v>4</v>
      </c>
      <c r="B166" s="48" t="s">
        <v>421</v>
      </c>
      <c r="C166" s="48">
        <v>0</v>
      </c>
      <c r="D166" s="48">
        <v>5.7724901702175819E-4</v>
      </c>
      <c r="E166" s="48">
        <v>0</v>
      </c>
      <c r="F166" s="44">
        <v>11115023</v>
      </c>
      <c r="G166" s="44">
        <v>4</v>
      </c>
      <c r="H166" s="48" t="s">
        <v>250</v>
      </c>
      <c r="I166" s="48">
        <v>0</v>
      </c>
      <c r="J166" s="48">
        <v>3.944797039713274E-4</v>
      </c>
      <c r="K166" s="48">
        <v>0</v>
      </c>
      <c r="L166" s="44">
        <v>1692097</v>
      </c>
      <c r="R166" s="21"/>
      <c r="S166" s="21"/>
    </row>
    <row r="167" spans="1:19" s="43" customFormat="1">
      <c r="A167" s="44">
        <v>5</v>
      </c>
      <c r="B167" s="48" t="s">
        <v>250</v>
      </c>
      <c r="C167" s="48">
        <v>0</v>
      </c>
      <c r="D167" s="48">
        <v>4.8488916282936979E-4</v>
      </c>
      <c r="E167" s="48">
        <v>0</v>
      </c>
      <c r="F167" s="44">
        <v>1692097</v>
      </c>
      <c r="G167" s="44">
        <v>5</v>
      </c>
      <c r="H167" s="48" t="s">
        <v>337</v>
      </c>
      <c r="I167" s="48">
        <v>0</v>
      </c>
      <c r="J167" s="48">
        <v>2.3636191114460086E-4</v>
      </c>
      <c r="K167" s="48">
        <v>0</v>
      </c>
      <c r="L167" s="44">
        <v>3689192</v>
      </c>
      <c r="R167" s="21"/>
      <c r="S167" s="21"/>
    </row>
    <row r="168" spans="1:19" s="43" customFormat="1">
      <c r="A168" s="44">
        <v>6</v>
      </c>
      <c r="B168" s="48" t="s">
        <v>251</v>
      </c>
      <c r="C168" s="48">
        <v>0</v>
      </c>
      <c r="D168" s="48">
        <v>7.5388717705693331E-4</v>
      </c>
      <c r="E168" s="48">
        <v>0</v>
      </c>
      <c r="F168" s="44">
        <v>5920853</v>
      </c>
      <c r="G168" s="44">
        <v>6</v>
      </c>
      <c r="H168" s="48" t="s">
        <v>251</v>
      </c>
      <c r="I168" s="48">
        <v>0</v>
      </c>
      <c r="J168" s="48">
        <v>6.4049650985908979E-4</v>
      </c>
      <c r="K168" s="48">
        <v>0</v>
      </c>
      <c r="L168" s="44">
        <v>5920853</v>
      </c>
      <c r="R168" s="21"/>
      <c r="S168" s="21"/>
    </row>
    <row r="169" spans="1:19" s="43" customFormat="1">
      <c r="A169" s="44">
        <v>7</v>
      </c>
      <c r="B169" s="48"/>
      <c r="C169" s="48">
        <v>0</v>
      </c>
      <c r="D169" s="48">
        <v>0</v>
      </c>
      <c r="E169" s="48">
        <v>0</v>
      </c>
      <c r="F169" s="44">
        <v>11115023</v>
      </c>
      <c r="G169" s="44">
        <v>7</v>
      </c>
      <c r="H169" s="48"/>
      <c r="I169" s="48">
        <v>0</v>
      </c>
      <c r="J169" s="48">
        <v>0</v>
      </c>
      <c r="K169" s="48">
        <v>0</v>
      </c>
      <c r="L169" s="44">
        <v>11115023</v>
      </c>
      <c r="R169" s="21"/>
      <c r="S169" s="21"/>
    </row>
    <row r="170" spans="1:19" s="43" customFormat="1">
      <c r="A170" s="44">
        <v>8</v>
      </c>
      <c r="B170" s="48"/>
      <c r="C170" s="48">
        <v>0</v>
      </c>
      <c r="D170" s="48">
        <v>0</v>
      </c>
      <c r="E170" s="48">
        <v>0</v>
      </c>
      <c r="F170" s="44">
        <v>11115023</v>
      </c>
      <c r="G170" s="44">
        <v>8</v>
      </c>
      <c r="H170" s="48"/>
      <c r="I170" s="48">
        <v>0</v>
      </c>
      <c r="J170" s="48">
        <v>0</v>
      </c>
      <c r="K170" s="48">
        <v>0</v>
      </c>
      <c r="L170" s="44">
        <v>11115023</v>
      </c>
      <c r="R170" s="21"/>
      <c r="S170" s="21"/>
    </row>
    <row r="171" spans="1:19" s="43" customFormat="1">
      <c r="A171" s="44">
        <v>9</v>
      </c>
      <c r="B171" s="48"/>
      <c r="C171" s="48">
        <v>0</v>
      </c>
      <c r="D171" s="48">
        <v>0</v>
      </c>
      <c r="E171" s="48">
        <v>0</v>
      </c>
      <c r="F171" s="44">
        <v>11115023</v>
      </c>
      <c r="G171" s="44">
        <v>9</v>
      </c>
      <c r="H171" s="48"/>
      <c r="I171" s="48">
        <v>0</v>
      </c>
      <c r="J171" s="48">
        <v>0</v>
      </c>
      <c r="K171" s="48">
        <v>0</v>
      </c>
      <c r="L171" s="44">
        <v>11115023</v>
      </c>
      <c r="R171" s="21"/>
      <c r="S171" s="21"/>
    </row>
    <row r="172" spans="1:19" s="43" customFormat="1">
      <c r="A172" s="44">
        <v>10</v>
      </c>
      <c r="B172" s="48"/>
      <c r="C172" s="48">
        <v>0</v>
      </c>
      <c r="D172" s="48">
        <v>0</v>
      </c>
      <c r="E172" s="48">
        <v>0</v>
      </c>
      <c r="F172" s="44">
        <v>11115023</v>
      </c>
      <c r="G172" s="44">
        <v>10</v>
      </c>
      <c r="H172" s="48"/>
      <c r="I172" s="48">
        <v>0</v>
      </c>
      <c r="J172" s="48">
        <v>0</v>
      </c>
      <c r="K172" s="48">
        <v>0</v>
      </c>
      <c r="L172" s="44">
        <v>11115023</v>
      </c>
      <c r="R172" s="21"/>
      <c r="S172" s="21"/>
    </row>
    <row r="173" spans="1:19" s="43" customFormat="1">
      <c r="A173" s="44">
        <v>11</v>
      </c>
      <c r="B173" s="48"/>
      <c r="C173" s="48">
        <v>0</v>
      </c>
      <c r="D173" s="48">
        <v>0</v>
      </c>
      <c r="E173" s="48">
        <v>0</v>
      </c>
      <c r="F173" s="44">
        <v>11115023</v>
      </c>
      <c r="G173" s="44">
        <v>11</v>
      </c>
      <c r="H173" s="48"/>
      <c r="I173" s="48">
        <v>0</v>
      </c>
      <c r="J173" s="48">
        <v>0</v>
      </c>
      <c r="K173" s="48">
        <v>0</v>
      </c>
      <c r="L173" s="44">
        <v>11115023</v>
      </c>
      <c r="R173" s="21"/>
      <c r="S173" s="21"/>
    </row>
    <row r="174" spans="1:19" s="43" customFormat="1">
      <c r="A174" s="44">
        <v>12</v>
      </c>
      <c r="B174" s="48"/>
      <c r="C174" s="48">
        <v>0</v>
      </c>
      <c r="D174" s="48">
        <v>0</v>
      </c>
      <c r="E174" s="48">
        <v>0</v>
      </c>
      <c r="F174" s="44">
        <v>11115023</v>
      </c>
      <c r="G174" s="44">
        <v>12</v>
      </c>
      <c r="H174" s="48"/>
      <c r="I174" s="48">
        <v>0</v>
      </c>
      <c r="J174" s="48">
        <v>0</v>
      </c>
      <c r="K174" s="48">
        <v>0</v>
      </c>
      <c r="L174" s="44">
        <v>11115023</v>
      </c>
      <c r="R174" s="21"/>
      <c r="S174" s="21"/>
    </row>
    <row r="175" spans="1:19" s="43" customFormat="1">
      <c r="A175" s="44">
        <v>13</v>
      </c>
      <c r="B175" s="48"/>
      <c r="C175" s="48">
        <v>0</v>
      </c>
      <c r="D175" s="48">
        <v>0</v>
      </c>
      <c r="E175" s="48">
        <v>0</v>
      </c>
      <c r="F175" s="44">
        <v>11115023</v>
      </c>
      <c r="G175" s="44">
        <v>13</v>
      </c>
      <c r="H175" s="48"/>
      <c r="I175" s="48">
        <v>0</v>
      </c>
      <c r="J175" s="48">
        <v>0</v>
      </c>
      <c r="K175" s="48">
        <v>0</v>
      </c>
      <c r="L175" s="44">
        <v>11115023</v>
      </c>
      <c r="R175" s="21"/>
      <c r="S175" s="21"/>
    </row>
    <row r="176" spans="1:19" s="43" customFormat="1">
      <c r="A176" s="44">
        <v>14</v>
      </c>
      <c r="B176" s="48"/>
      <c r="C176" s="48">
        <v>0</v>
      </c>
      <c r="D176" s="48">
        <v>0</v>
      </c>
      <c r="E176" s="48">
        <v>0</v>
      </c>
      <c r="F176" s="44">
        <v>11115023</v>
      </c>
      <c r="G176" s="44">
        <v>14</v>
      </c>
      <c r="H176" s="48"/>
      <c r="I176" s="48">
        <v>0</v>
      </c>
      <c r="J176" s="48">
        <v>0</v>
      </c>
      <c r="K176" s="48">
        <v>0</v>
      </c>
      <c r="L176" s="44">
        <v>11115023</v>
      </c>
      <c r="R176" s="21"/>
      <c r="S176" s="21"/>
    </row>
    <row r="177" spans="1:19" s="43" customFormat="1">
      <c r="A177" s="44">
        <v>15</v>
      </c>
      <c r="B177" s="48"/>
      <c r="C177" s="48">
        <v>0</v>
      </c>
      <c r="D177" s="48">
        <v>0</v>
      </c>
      <c r="E177" s="48">
        <v>0</v>
      </c>
      <c r="F177" s="44">
        <v>11115023</v>
      </c>
      <c r="G177" s="44">
        <v>15</v>
      </c>
      <c r="H177" s="48"/>
      <c r="I177" s="48">
        <v>0</v>
      </c>
      <c r="J177" s="48">
        <v>0</v>
      </c>
      <c r="K177" s="48">
        <v>0</v>
      </c>
      <c r="L177" s="44">
        <v>11115023</v>
      </c>
      <c r="R177" s="21"/>
      <c r="S177" s="21"/>
    </row>
    <row r="178" spans="1:19" s="43" customFormat="1">
      <c r="A178" s="44">
        <v>16</v>
      </c>
      <c r="B178" s="48"/>
      <c r="C178" s="48">
        <v>0</v>
      </c>
      <c r="D178" s="48">
        <v>0</v>
      </c>
      <c r="E178" s="48">
        <v>0</v>
      </c>
      <c r="F178" s="44">
        <v>11115023</v>
      </c>
      <c r="G178" s="44">
        <v>16</v>
      </c>
      <c r="H178" s="48"/>
      <c r="I178" s="48">
        <v>0</v>
      </c>
      <c r="J178" s="48">
        <v>0</v>
      </c>
      <c r="K178" s="48">
        <v>0</v>
      </c>
      <c r="L178" s="44">
        <v>11115023</v>
      </c>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C491BCE0-497C-459B-93AE-90D2F329B9D1}">
      <formula1>$C$113:$C$114</formula1>
    </dataValidation>
  </dataValidations>
  <hyperlinks>
    <hyperlink ref="O1:P1" location="Home_page" display="Back to home page" xr:uid="{44F6549E-52C6-450E-8A04-3E9D4715151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43CB8010-B5E5-4051-B155-13D86AD53689}">
          <x14:colorSeries rgb="FF323232"/>
          <x14:colorNegative rgb="FFD00000"/>
          <x14:colorAxis rgb="FF000000"/>
          <x14:colorMarkers rgb="FFD00000"/>
          <x14:colorFirst rgb="FFD00000"/>
          <x14:colorLast rgb="FFD00000"/>
          <x14:colorHigh rgb="FFD00000"/>
          <x14:colorLow rgb="FFD00000"/>
          <x14:sparklines>
            <x14:sparkline>
              <xm:f>'NS beam trawl under 300kW'!D3:N3</xm:f>
              <xm:sqref>C3</xm:sqref>
            </x14:sparkline>
            <x14:sparkline>
              <xm:f>'NS beam trawl under 300kW'!D4:N4</xm:f>
              <xm:sqref>C4</xm:sqref>
            </x14:sparkline>
            <x14:sparkline>
              <xm:f>'NS beam trawl under 300kW'!D5:N5</xm:f>
              <xm:sqref>C5</xm:sqref>
            </x14:sparkline>
            <x14:sparkline>
              <xm:f>'NS beam trawl under 300kW'!D6:N6</xm:f>
              <xm:sqref>C6</xm:sqref>
            </x14:sparkline>
            <x14:sparkline>
              <xm:f>'NS beam trawl under 300kW'!D7:N7</xm:f>
              <xm:sqref>C7</xm:sqref>
            </x14:sparkline>
            <x14:sparkline>
              <xm:f>'NS beam trawl under 300kW'!D8:N8</xm:f>
              <xm:sqref>C8</xm:sqref>
            </x14:sparkline>
            <x14:sparkline>
              <xm:f>'NS beam trawl under 300kW'!D9:N9</xm:f>
              <xm:sqref>C9</xm:sqref>
            </x14:sparkline>
            <x14:sparkline>
              <xm:f>'NS beam trawl under 300kW'!D10:N10</xm:f>
              <xm:sqref>C10</xm:sqref>
            </x14:sparkline>
            <x14:sparkline>
              <xm:f>'NS beam trawl under 300kW'!D11:N11</xm:f>
              <xm:sqref>C11</xm:sqref>
            </x14:sparkline>
            <x14:sparkline>
              <xm:f>'NS beam trawl under 300kW'!D12:N12</xm:f>
              <xm:sqref>C12</xm:sqref>
            </x14:sparkline>
            <x14:sparkline>
              <xm:f>'NS beam trawl under 300kW'!D13:N13</xm:f>
              <xm:sqref>C13</xm:sqref>
            </x14:sparkline>
            <x14:sparkline>
              <xm:f>'NS beam trawl under 300kW'!D14:N14</xm:f>
              <xm:sqref>C14</xm:sqref>
            </x14:sparkline>
            <x14:sparkline>
              <xm:f>'NS beam trawl under 300kW'!D15:N15</xm:f>
              <xm:sqref>C15</xm:sqref>
            </x14:sparkline>
            <x14:sparkline>
              <xm:f>'NS beam trawl under 300kW'!D16:N16</xm:f>
              <xm:sqref>C16</xm:sqref>
            </x14:sparkline>
            <x14:sparkline>
              <xm:f>'NS beam trawl under 300kW'!D17:N17</xm:f>
              <xm:sqref>C17</xm:sqref>
            </x14:sparkline>
            <x14:sparkline>
              <xm:f>'NS beam trawl under 300kW'!D18:N18</xm:f>
              <xm:sqref>C18</xm:sqref>
            </x14:sparkline>
            <x14:sparkline>
              <xm:f>'NS beam trawl under 300kW'!D19:N19</xm:f>
              <xm:sqref>C19</xm:sqref>
            </x14:sparkline>
            <x14:sparkline>
              <xm:f>'NS beam trawl under 300kW'!D20:N20</xm:f>
              <xm:sqref>C20</xm:sqref>
            </x14:sparkline>
            <x14:sparkline>
              <xm:f>'NS beam trawl under 300kW'!D21:N21</xm:f>
              <xm:sqref>C21</xm:sqref>
            </x14:sparkline>
            <x14:sparkline>
              <xm:f>'NS beam trawl under 300kW'!D22:N22</xm:f>
              <xm:sqref>C22</xm:sqref>
            </x14:sparkline>
            <x14:sparkline>
              <xm:f>'NS beam trawl under 300kW'!D23:N23</xm:f>
              <xm:sqref>C23</xm:sqref>
            </x14:sparkline>
            <x14:sparkline>
              <xm:f>'NS beam trawl under 300kW'!D24:N24</xm:f>
              <xm:sqref>C24</xm:sqref>
            </x14:sparkline>
            <x14:sparkline>
              <xm:f>'NS beam trawl under 300kW'!D25:N25</xm:f>
              <xm:sqref>C25</xm:sqref>
            </x14:sparkline>
            <x14:sparkline>
              <xm:f>'NS beam trawl under 300kW'!D26:N26</xm:f>
              <xm:sqref>C26</xm:sqref>
            </x14:sparkline>
            <x14:sparkline>
              <xm:f>'NS beam trawl under 300kW'!D27:N27</xm:f>
              <xm:sqref>C27</xm:sqref>
            </x14:sparkline>
            <x14:sparkline>
              <xm:f>'NS beam trawl under 300kW'!D28:N28</xm:f>
              <xm:sqref>C28</xm:sqref>
            </x14:sparkline>
            <x14:sparkline>
              <xm:f>'NS beam trawl under 300kW'!D29:N29</xm:f>
              <xm:sqref>C29</xm:sqref>
            </x14:sparkline>
            <x14:sparkline>
              <xm:f>'NS beam trawl under 300kW'!D30:N30</xm:f>
              <xm:sqref>C30</xm:sqref>
            </x14:sparkline>
            <x14:sparkline>
              <xm:f>'NS beam trawl under 300kW'!D31:N31</xm:f>
              <xm:sqref>C31</xm:sqref>
            </x14:sparkline>
            <x14:sparkline>
              <xm:f>'NS beam trawl under 300kW'!D32:N32</xm:f>
              <xm:sqref>C32</xm:sqref>
            </x14:sparkline>
            <x14:sparkline>
              <xm:f>'NS beam trawl under 300kW'!D33:N33</xm:f>
              <xm:sqref>C33</xm:sqref>
            </x14:sparkline>
            <x14:sparkline>
              <xm:f>'NS beam trawl under 300kW'!D34:N34</xm:f>
              <xm:sqref>C34</xm:sqref>
            </x14:sparkline>
            <x14:sparkline>
              <xm:f>'NS beam trawl under 300kW'!D35:N35</xm:f>
              <xm:sqref>C35</xm:sqref>
            </x14:sparkline>
            <x14:sparkline>
              <xm:f>'NS beam trawl under 300kW'!D36:N36</xm:f>
              <xm:sqref>C36</xm:sqref>
            </x14:sparkline>
            <x14:sparkline>
              <xm:f>'NS beam trawl under 300kW'!D37:N37</xm:f>
              <xm:sqref>C37</xm:sqref>
            </x14:sparkline>
            <x14:sparkline>
              <xm:f>'NS beam trawl under 300kW'!D38:N38</xm:f>
              <xm:sqref>C38</xm:sqref>
            </x14:sparkline>
            <x14:sparkline>
              <xm:f>'NS beam trawl under 300kW'!D39:N39</xm:f>
              <xm:sqref>C39</xm:sqref>
            </x14:sparkline>
            <x14:sparkline>
              <xm:f>'NS beam trawl under 300kW'!D40:N40</xm:f>
              <xm:sqref>C40</xm:sqref>
            </x14:sparkline>
            <x14:sparkline>
              <xm:f>'NS beam trawl under 300kW'!D41:N41</xm:f>
              <xm:sqref>C41</xm:sqref>
            </x14:sparkline>
            <x14:sparkline>
              <xm:f>'NS beam trawl under 300kW'!D42:N42</xm:f>
              <xm:sqref>C42</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87D2-C4CD-4646-8A40-53F51112BB8D}">
  <sheetPr codeName="Feuil19">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21</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72</v>
      </c>
      <c r="E3" s="28">
        <v>54</v>
      </c>
      <c r="F3" s="28">
        <v>59</v>
      </c>
      <c r="G3" s="28">
        <v>43</v>
      </c>
      <c r="H3" s="28">
        <v>49</v>
      </c>
      <c r="I3" s="28">
        <v>53</v>
      </c>
      <c r="J3" s="28">
        <v>40</v>
      </c>
      <c r="K3" s="28">
        <v>72</v>
      </c>
      <c r="L3" s="28">
        <v>53</v>
      </c>
      <c r="M3" s="28">
        <v>70</v>
      </c>
      <c r="N3" s="28">
        <v>76</v>
      </c>
      <c r="O3" s="29">
        <f t="shared" ref="O3:O42" si="0">IF(N3=0,"",IFERROR(IF(AND(N3&gt;0,D3&lt;0),"na",IF(AND(N3&lt;0,D3&lt;0),-1,1)*(N3-D3)/D3),""))</f>
        <v>5.5555555555555552E-2</v>
      </c>
      <c r="P3" s="29">
        <f t="shared" ref="P3:P42" si="1">IF(N3=0,"",IFERROR(IF(AND(N3&gt;0,J3&lt;0),"na",IF(AND(N3&lt;0,J3&lt;0),-1,1)*(N3-J3)/J3),""))</f>
        <v>0.9</v>
      </c>
    </row>
    <row r="4" spans="1:17" ht="18" customHeight="1">
      <c r="A4" s="185"/>
      <c r="B4" s="30" t="s">
        <v>190</v>
      </c>
      <c r="C4" s="31"/>
      <c r="D4" s="31">
        <v>30452</v>
      </c>
      <c r="E4" s="31">
        <v>24104</v>
      </c>
      <c r="F4" s="31">
        <v>25767</v>
      </c>
      <c r="G4" s="31">
        <v>18206</v>
      </c>
      <c r="H4" s="31">
        <v>20924</v>
      </c>
      <c r="I4" s="31">
        <v>22603</v>
      </c>
      <c r="J4" s="31">
        <v>17027</v>
      </c>
      <c r="K4" s="31">
        <v>31170</v>
      </c>
      <c r="L4" s="31">
        <v>22810</v>
      </c>
      <c r="M4" s="31">
        <v>31336</v>
      </c>
      <c r="N4" s="31">
        <v>34422</v>
      </c>
      <c r="O4" s="29">
        <f t="shared" si="0"/>
        <v>0.13036910547747274</v>
      </c>
      <c r="P4" s="29">
        <f t="shared" si="1"/>
        <v>1.0216127327186233</v>
      </c>
    </row>
    <row r="5" spans="1:17" ht="18" customHeight="1">
      <c r="A5" s="185"/>
      <c r="B5" s="30" t="s">
        <v>191</v>
      </c>
      <c r="C5" s="31"/>
      <c r="D5" s="31">
        <v>11251</v>
      </c>
      <c r="E5" s="31">
        <v>8758</v>
      </c>
      <c r="F5" s="31">
        <v>9184</v>
      </c>
      <c r="G5" s="31">
        <v>6507</v>
      </c>
      <c r="H5" s="31">
        <v>7787</v>
      </c>
      <c r="I5" s="31">
        <v>8434</v>
      </c>
      <c r="J5" s="31">
        <v>6238</v>
      </c>
      <c r="K5" s="31">
        <v>11615</v>
      </c>
      <c r="L5" s="31">
        <v>8399</v>
      </c>
      <c r="M5" s="31">
        <v>12027</v>
      </c>
      <c r="N5" s="31">
        <v>13239</v>
      </c>
      <c r="O5" s="29">
        <f t="shared" si="0"/>
        <v>0.17669540485290197</v>
      </c>
      <c r="P5" s="29">
        <f t="shared" si="1"/>
        <v>1.1223148445014428</v>
      </c>
      <c r="Q5" s="32"/>
    </row>
    <row r="6" spans="1:17" ht="18" customHeight="1">
      <c r="A6" s="185"/>
      <c r="B6" s="30" t="s">
        <v>192</v>
      </c>
      <c r="C6" s="31"/>
      <c r="D6" s="31">
        <v>24041.41015625</v>
      </c>
      <c r="E6" s="31">
        <v>18541.1484375</v>
      </c>
      <c r="F6" s="31">
        <v>20059.7734375</v>
      </c>
      <c r="G6" s="31">
        <v>14154.6806640625</v>
      </c>
      <c r="H6" s="31">
        <v>16407.720703125</v>
      </c>
      <c r="I6" s="31">
        <v>17701.189453125</v>
      </c>
      <c r="J6" s="31">
        <v>13238.3759765625</v>
      </c>
      <c r="K6" s="31">
        <v>24283.888671875</v>
      </c>
      <c r="L6" s="31">
        <v>17602.181640625</v>
      </c>
      <c r="M6" s="31">
        <v>24284.994140625</v>
      </c>
      <c r="N6" s="31">
        <v>26665.740234375</v>
      </c>
      <c r="O6" s="29">
        <f t="shared" si="0"/>
        <v>0.10915874156586268</v>
      </c>
      <c r="P6" s="29">
        <f t="shared" si="1"/>
        <v>1.0142757904432227</v>
      </c>
    </row>
    <row r="7" spans="1:17" ht="18" customHeight="1">
      <c r="A7" s="185"/>
      <c r="B7" s="30" t="s">
        <v>193</v>
      </c>
      <c r="C7" s="31"/>
      <c r="D7" s="31">
        <v>13675.2333984375</v>
      </c>
      <c r="E7" s="31">
        <v>10469.158203125</v>
      </c>
      <c r="F7" s="31">
        <v>13238.427734375</v>
      </c>
      <c r="G7" s="31">
        <v>7437.541015625</v>
      </c>
      <c r="H7" s="31">
        <v>10976.51171875</v>
      </c>
      <c r="I7" s="31">
        <v>14248.2392578125</v>
      </c>
      <c r="J7" s="31">
        <v>10369.63671875</v>
      </c>
      <c r="K7" s="31">
        <v>21508.22265625</v>
      </c>
      <c r="L7" s="31">
        <v>12204.623046875</v>
      </c>
      <c r="M7" s="31">
        <v>19543.484375</v>
      </c>
      <c r="N7" s="31">
        <v>18872.224609375</v>
      </c>
      <c r="O7" s="29">
        <f t="shared" si="0"/>
        <v>0.38002943419827084</v>
      </c>
      <c r="P7" s="29">
        <f t="shared" si="1"/>
        <v>0.81995041111237099</v>
      </c>
    </row>
    <row r="8" spans="1:17" ht="18" customHeight="1">
      <c r="A8" s="185"/>
      <c r="B8" s="30" t="s">
        <v>194</v>
      </c>
      <c r="C8" s="33"/>
      <c r="D8" s="33">
        <f ca="1">44.486164*OFFSET(D$113,MATCH($N$1,$C$113:$C$114,0)-1,0)</f>
        <v>44.486164000000002</v>
      </c>
      <c r="E8" s="33">
        <f ca="1">26.94565*OFFSET(E$113,MATCH($N$1,$C$113:$C$114,0)-1,0)</f>
        <v>26.945650000000001</v>
      </c>
      <c r="F8" s="33">
        <f ca="1">39.070116*OFFSET(F$113,MATCH($N$1,$C$113:$C$114,0)-1,0)</f>
        <v>39.070115999999999</v>
      </c>
      <c r="G8" s="33">
        <f ca="1">19.8313*OFFSET(G$113,MATCH($N$1,$C$113:$C$114,0)-1,0)</f>
        <v>19.831299999999999</v>
      </c>
      <c r="H8" s="33">
        <f ca="1">33.511486*OFFSET(H$113,MATCH($N$1,$C$113:$C$114,0)-1,0)</f>
        <v>33.511485999999998</v>
      </c>
      <c r="I8" s="33">
        <f ca="1">43.005184*OFFSET(I$113,MATCH($N$1,$C$113:$C$114,0)-1,0)</f>
        <v>43.005184</v>
      </c>
      <c r="J8" s="33">
        <f ca="1">27.845142*OFFSET(J$113,MATCH($N$1,$C$113:$C$114,0)-1,0)</f>
        <v>27.845141999999999</v>
      </c>
      <c r="K8" s="33">
        <f ca="1">59.99444*OFFSET(K$113,MATCH($N$1,$C$113:$C$114,0)-1,0)</f>
        <v>59.994439999999997</v>
      </c>
      <c r="L8" s="33">
        <f ca="1">24.589596*OFFSET(L$113,MATCH($N$1,$C$113:$C$114,0)-1,0)</f>
        <v>24.589596</v>
      </c>
      <c r="M8" s="33">
        <f ca="1">48.495404*OFFSET(M$113,MATCH($N$1,$C$113:$C$114,0)-1,0)</f>
        <v>48.495404000000001</v>
      </c>
      <c r="N8" s="33">
        <v>56.484899999999996</v>
      </c>
      <c r="O8" s="29">
        <f t="shared" ca="1" si="0"/>
        <v>0.26971837805570276</v>
      </c>
      <c r="P8" s="29">
        <f t="shared" ca="1" si="1"/>
        <v>1.0285369706500329</v>
      </c>
    </row>
    <row r="9" spans="1:17" ht="18" customHeight="1">
      <c r="A9" s="185"/>
      <c r="B9" s="30" t="s">
        <v>195</v>
      </c>
      <c r="C9" s="31"/>
      <c r="D9" s="31">
        <v>12619</v>
      </c>
      <c r="E9" s="31">
        <v>8839</v>
      </c>
      <c r="F9" s="31">
        <v>11039</v>
      </c>
      <c r="G9" s="31">
        <v>7242</v>
      </c>
      <c r="H9" s="31">
        <v>9861</v>
      </c>
      <c r="I9" s="31">
        <v>10780</v>
      </c>
      <c r="J9" s="31">
        <v>7815</v>
      </c>
      <c r="K9" s="31">
        <v>14746</v>
      </c>
      <c r="L9" s="31">
        <v>8845</v>
      </c>
      <c r="M9" s="31">
        <v>13531</v>
      </c>
      <c r="N9" s="31">
        <v>13744</v>
      </c>
      <c r="O9" s="29">
        <f t="shared" si="0"/>
        <v>8.9151279816150245E-2</v>
      </c>
      <c r="P9" s="29">
        <f t="shared" si="1"/>
        <v>0.75866922584772878</v>
      </c>
    </row>
    <row r="10" spans="1:17" ht="18" customHeight="1">
      <c r="A10" s="185"/>
      <c r="B10" s="30" t="s">
        <v>196</v>
      </c>
      <c r="C10" s="31"/>
      <c r="D10" s="31">
        <v>20100.600000000002</v>
      </c>
      <c r="E10" s="31">
        <v>14260.5</v>
      </c>
      <c r="F10" s="31">
        <v>17755.900000000001</v>
      </c>
      <c r="G10" s="31">
        <v>11440</v>
      </c>
      <c r="H10" s="31">
        <v>16124.4</v>
      </c>
      <c r="I10" s="31">
        <v>18066.5</v>
      </c>
      <c r="J10" s="31">
        <v>13187</v>
      </c>
      <c r="K10" s="31">
        <v>24988.2</v>
      </c>
      <c r="L10" s="31">
        <v>14804.9</v>
      </c>
      <c r="M10" s="31">
        <v>24035.600000000002</v>
      </c>
      <c r="N10" s="31">
        <v>24815.8</v>
      </c>
      <c r="O10" s="29">
        <f t="shared" si="0"/>
        <v>0.23458006228669773</v>
      </c>
      <c r="P10" s="29">
        <f t="shared" si="1"/>
        <v>0.88183817395920217</v>
      </c>
    </row>
    <row r="11" spans="1:17" ht="18" customHeight="1">
      <c r="A11" s="185"/>
      <c r="B11" s="30" t="s">
        <v>197</v>
      </c>
      <c r="C11" s="31"/>
      <c r="D11" s="31">
        <v>575.57379150390625</v>
      </c>
      <c r="E11" s="31">
        <v>305.49313354492188</v>
      </c>
      <c r="F11" s="31">
        <v>401.08401489257813</v>
      </c>
      <c r="G11" s="31">
        <v>196.29574584960938</v>
      </c>
      <c r="H11" s="31">
        <v>398.972412109375</v>
      </c>
      <c r="I11" s="31">
        <v>373.97140502929688</v>
      </c>
      <c r="J11" s="31">
        <v>369.45849609375</v>
      </c>
      <c r="K11" s="31">
        <v>351.31610107421875</v>
      </c>
      <c r="L11" s="31">
        <v>361.32177734375</v>
      </c>
      <c r="M11" s="31">
        <v>649.5777587890625</v>
      </c>
      <c r="N11" s="31">
        <v>657.71649169921875</v>
      </c>
      <c r="O11" s="34">
        <f t="shared" si="0"/>
        <v>0.14271445539708008</v>
      </c>
      <c r="P11" s="34">
        <f t="shared" si="1"/>
        <v>0.7802175309356626</v>
      </c>
    </row>
    <row r="12" spans="1:17" ht="18" customHeight="1">
      <c r="A12" s="186" t="s">
        <v>198</v>
      </c>
      <c r="B12" s="35" t="s">
        <v>199</v>
      </c>
      <c r="C12" s="36"/>
      <c r="D12" s="36">
        <v>20.570138931274414</v>
      </c>
      <c r="E12" s="36">
        <v>20.563148498535156</v>
      </c>
      <c r="F12" s="36">
        <v>20.493728637695313</v>
      </c>
      <c r="G12" s="36">
        <v>20.27790641784668</v>
      </c>
      <c r="H12" s="36">
        <v>20.62755012512207</v>
      </c>
      <c r="I12" s="36">
        <v>20.568302154541016</v>
      </c>
      <c r="J12" s="36">
        <v>20.273250579833984</v>
      </c>
      <c r="K12" s="36">
        <v>20.580694198608398</v>
      </c>
      <c r="L12" s="36">
        <v>20.139434814453125</v>
      </c>
      <c r="M12" s="36">
        <v>20.843143463134766</v>
      </c>
      <c r="N12" s="36">
        <v>20.928552627563477</v>
      </c>
      <c r="O12" s="29">
        <f t="shared" si="0"/>
        <v>1.7423980338029596E-2</v>
      </c>
      <c r="P12" s="29">
        <f t="shared" si="1"/>
        <v>3.2323481878201027E-2</v>
      </c>
    </row>
    <row r="13" spans="1:17" ht="18" customHeight="1">
      <c r="A13" s="187"/>
      <c r="B13" s="37" t="s">
        <v>190</v>
      </c>
      <c r="C13" s="31"/>
      <c r="D13" s="31">
        <v>422.9444580078125</v>
      </c>
      <c r="E13" s="31">
        <v>446.370361328125</v>
      </c>
      <c r="F13" s="31">
        <v>436.72882080078125</v>
      </c>
      <c r="G13" s="31">
        <v>423.39535522460938</v>
      </c>
      <c r="H13" s="31">
        <v>427.02041625976563</v>
      </c>
      <c r="I13" s="31">
        <v>426.47171020507813</v>
      </c>
      <c r="J13" s="31">
        <v>425.67498779296875</v>
      </c>
      <c r="K13" s="31">
        <v>432.91665649414063</v>
      </c>
      <c r="L13" s="31">
        <v>430.37734985351563</v>
      </c>
      <c r="M13" s="31">
        <v>447.65713500976563</v>
      </c>
      <c r="N13" s="31">
        <v>452.92105102539063</v>
      </c>
      <c r="O13" s="29">
        <f t="shared" si="0"/>
        <v>7.0875956523408112E-2</v>
      </c>
      <c r="P13" s="29">
        <f t="shared" si="1"/>
        <v>6.4006728169974755E-2</v>
      </c>
    </row>
    <row r="14" spans="1:17" ht="18" customHeight="1">
      <c r="A14" s="187"/>
      <c r="B14" s="37" t="s">
        <v>191</v>
      </c>
      <c r="C14" s="31"/>
      <c r="D14" s="31">
        <v>156.26388549804688</v>
      </c>
      <c r="E14" s="31">
        <v>162.1851806640625</v>
      </c>
      <c r="F14" s="31">
        <v>155.6610107421875</v>
      </c>
      <c r="G14" s="31">
        <v>151.32557678222656</v>
      </c>
      <c r="H14" s="31">
        <v>158.91836547851563</v>
      </c>
      <c r="I14" s="31">
        <v>159.132080078125</v>
      </c>
      <c r="J14" s="31">
        <v>155.94999694824219</v>
      </c>
      <c r="K14" s="31">
        <v>161.31944274902344</v>
      </c>
      <c r="L14" s="31">
        <v>158.47169494628906</v>
      </c>
      <c r="M14" s="31">
        <v>171.81428527832031</v>
      </c>
      <c r="N14" s="31">
        <v>174.19737243652344</v>
      </c>
      <c r="O14" s="29">
        <f t="shared" si="0"/>
        <v>0.11476411764188925</v>
      </c>
      <c r="P14" s="29">
        <f t="shared" si="1"/>
        <v>0.11700786050247453</v>
      </c>
    </row>
    <row r="15" spans="1:17" ht="18" customHeight="1">
      <c r="A15" s="187"/>
      <c r="B15" s="37" t="s">
        <v>192</v>
      </c>
      <c r="C15" s="31"/>
      <c r="D15" s="31">
        <v>333.90847778320313</v>
      </c>
      <c r="E15" s="31">
        <v>343.3546142578125</v>
      </c>
      <c r="F15" s="31">
        <v>339.99618530273438</v>
      </c>
      <c r="G15" s="31">
        <v>329.17861938476563</v>
      </c>
      <c r="H15" s="31">
        <v>334.8514404296875</v>
      </c>
      <c r="I15" s="31">
        <v>333.98471069335938</v>
      </c>
      <c r="J15" s="31">
        <v>330.95941162109375</v>
      </c>
      <c r="K15" s="31">
        <v>337.2762451171875</v>
      </c>
      <c r="L15" s="31">
        <v>332.11663818359375</v>
      </c>
      <c r="M15" s="31">
        <v>346.928466796875</v>
      </c>
      <c r="N15" s="31">
        <v>350.864990234375</v>
      </c>
      <c r="O15" s="29">
        <f t="shared" si="0"/>
        <v>5.0781916541158427E-2</v>
      </c>
      <c r="P15" s="29">
        <f t="shared" si="1"/>
        <v>6.014507493768026E-2</v>
      </c>
    </row>
    <row r="16" spans="1:17" ht="18" customHeight="1">
      <c r="A16" s="187"/>
      <c r="B16" s="37" t="s">
        <v>193</v>
      </c>
      <c r="C16" s="33"/>
      <c r="D16" s="33">
        <v>189.93380737304688</v>
      </c>
      <c r="E16" s="33">
        <v>193.87330627441406</v>
      </c>
      <c r="F16" s="33">
        <v>224.380126953125</v>
      </c>
      <c r="G16" s="33">
        <v>172.96607971191406</v>
      </c>
      <c r="H16" s="33">
        <v>224.01043701171875</v>
      </c>
      <c r="I16" s="33">
        <v>268.834716796875</v>
      </c>
      <c r="J16" s="33">
        <v>259.24093627929688</v>
      </c>
      <c r="K16" s="33">
        <v>298.72531127929688</v>
      </c>
      <c r="L16" s="33">
        <v>230.27590942382813</v>
      </c>
      <c r="M16" s="33">
        <v>279.192626953125</v>
      </c>
      <c r="N16" s="33">
        <v>248.31875610351563</v>
      </c>
      <c r="O16" s="29">
        <f t="shared" si="0"/>
        <v>0.30739629525667078</v>
      </c>
      <c r="P16" s="29">
        <f t="shared" si="1"/>
        <v>-4.2131386857876818E-2</v>
      </c>
    </row>
    <row r="17" spans="1:16" ht="18" customHeight="1">
      <c r="A17" s="187"/>
      <c r="B17" s="37" t="s">
        <v>200</v>
      </c>
      <c r="C17" s="33"/>
      <c r="D17" s="33">
        <f ca="1">617.8634375*OFFSET(D$113,MATCH($N$1,$C$113:$C$114,0)-1,0)</f>
        <v>617.86343750000003</v>
      </c>
      <c r="E17" s="33">
        <f ca="1">498.9935*OFFSET(E$113,MATCH($N$1,$C$113:$C$114,0)-1,0)</f>
        <v>498.99349999999998</v>
      </c>
      <c r="F17" s="33">
        <f ca="1">662.2053125*OFFSET(F$113,MATCH($N$1,$C$113:$C$114,0)-1,0)</f>
        <v>662.20531249999999</v>
      </c>
      <c r="G17" s="33">
        <f ca="1">461.193*OFFSET(G$113,MATCH($N$1,$C$113:$C$114,0)-1,0)</f>
        <v>461.19299999999998</v>
      </c>
      <c r="H17" s="33">
        <f ca="1">683.907875*OFFSET(H$113,MATCH($N$1,$C$113:$C$114,0)-1,0)</f>
        <v>683.90787499999999</v>
      </c>
      <c r="I17" s="33">
        <f ca="1">811.4185625*OFFSET(I$113,MATCH($N$1,$C$113:$C$114,0)-1,0)</f>
        <v>811.41856250000001</v>
      </c>
      <c r="J17" s="33">
        <f ca="1">696.1285*OFFSET(J$113,MATCH($N$1,$C$113:$C$114,0)-1,0)</f>
        <v>696.12850000000003</v>
      </c>
      <c r="K17" s="33">
        <f ca="1">833.256125*OFFSET(K$113,MATCH($N$1,$C$113:$C$114,0)-1,0)</f>
        <v>833.256125</v>
      </c>
      <c r="L17" s="33">
        <f ca="1">463.954625*OFFSET(L$113,MATCH($N$1,$C$113:$C$114,0)-1,0)</f>
        <v>463.95462500000002</v>
      </c>
      <c r="M17" s="33">
        <f ca="1">692.7915*OFFSET(M$113,MATCH($N$1,$C$113:$C$114,0)-1,0)</f>
        <v>692.79150000000004</v>
      </c>
      <c r="N17" s="33">
        <v>743.22231250000004</v>
      </c>
      <c r="O17" s="29">
        <f t="shared" ca="1" si="0"/>
        <v>0.20289090985416985</v>
      </c>
      <c r="P17" s="29">
        <f t="shared" ca="1" si="1"/>
        <v>6.7651033537629926E-2</v>
      </c>
    </row>
    <row r="18" spans="1:16" ht="18" customHeight="1">
      <c r="A18" s="187"/>
      <c r="B18" s="37" t="s">
        <v>195</v>
      </c>
      <c r="C18" s="31"/>
      <c r="D18" s="31">
        <v>175.26388549804688</v>
      </c>
      <c r="E18" s="31">
        <v>163.6851806640625</v>
      </c>
      <c r="F18" s="31">
        <v>187.10169982910156</v>
      </c>
      <c r="G18" s="31">
        <v>168.41860961914063</v>
      </c>
      <c r="H18" s="31">
        <v>201.24490356445313</v>
      </c>
      <c r="I18" s="31">
        <v>203.39622497558594</v>
      </c>
      <c r="J18" s="31">
        <v>195.375</v>
      </c>
      <c r="K18" s="31">
        <v>204.80555725097656</v>
      </c>
      <c r="L18" s="31">
        <v>166.88679504394531</v>
      </c>
      <c r="M18" s="31">
        <v>193.30000305175781</v>
      </c>
      <c r="N18" s="31">
        <v>180.84210205078125</v>
      </c>
      <c r="O18" s="29">
        <f t="shared" si="0"/>
        <v>3.1827529880915133E-2</v>
      </c>
      <c r="P18" s="29">
        <f t="shared" si="1"/>
        <v>-7.4384634416986561E-2</v>
      </c>
    </row>
    <row r="19" spans="1:16" ht="18" customHeight="1">
      <c r="A19" s="187"/>
      <c r="B19" s="37" t="s">
        <v>201</v>
      </c>
      <c r="C19" s="31"/>
      <c r="D19" s="31">
        <v>19.652778625488281</v>
      </c>
      <c r="E19" s="31">
        <v>19.333333969116211</v>
      </c>
      <c r="F19" s="31">
        <v>20.135593414306641</v>
      </c>
      <c r="G19" s="31">
        <v>20.581396102905273</v>
      </c>
      <c r="H19" s="31">
        <v>21.612245559692383</v>
      </c>
      <c r="I19" s="31">
        <v>21.811321258544922</v>
      </c>
      <c r="J19" s="31">
        <v>21.850000381469727</v>
      </c>
      <c r="K19" s="31">
        <v>23.138889312744141</v>
      </c>
      <c r="L19" s="31">
        <v>23.264150619506836</v>
      </c>
      <c r="M19" s="31">
        <v>21.228570938110352</v>
      </c>
      <c r="N19" s="31">
        <v>21.328947067260742</v>
      </c>
      <c r="O19" s="29">
        <f t="shared" si="0"/>
        <v>8.5289132580905758E-2</v>
      </c>
      <c r="P19" s="29">
        <f t="shared" si="1"/>
        <v>-2.3846833185910271E-2</v>
      </c>
    </row>
    <row r="20" spans="1:16" ht="18" customHeight="1">
      <c r="A20" s="187"/>
      <c r="B20" s="37" t="s">
        <v>202</v>
      </c>
      <c r="C20" s="38"/>
      <c r="D20" s="38">
        <v>1.0837019681930542</v>
      </c>
      <c r="E20" s="38">
        <v>1.1844279766082764</v>
      </c>
      <c r="F20" s="38">
        <v>1.1992415189743042</v>
      </c>
      <c r="G20" s="38">
        <v>1.0270010232925415</v>
      </c>
      <c r="H20" s="38">
        <v>1.1131235361099243</v>
      </c>
      <c r="I20" s="38">
        <v>1.3217291831970215</v>
      </c>
      <c r="J20" s="38">
        <v>1.3268890380859375</v>
      </c>
      <c r="K20" s="38">
        <v>1.4585801362991333</v>
      </c>
      <c r="L20" s="38">
        <v>1.3798329830169678</v>
      </c>
      <c r="M20" s="38">
        <v>1.4443488121032715</v>
      </c>
      <c r="N20" s="38">
        <v>1.3731247186660767</v>
      </c>
      <c r="O20" s="29">
        <f t="shared" si="0"/>
        <v>0.26706858432268138</v>
      </c>
      <c r="P20" s="29">
        <f t="shared" si="1"/>
        <v>3.4845174881265886E-2</v>
      </c>
    </row>
    <row r="21" spans="1:16" ht="18" customHeight="1">
      <c r="A21" s="188"/>
      <c r="B21" s="39" t="s">
        <v>203</v>
      </c>
      <c r="C21" s="40"/>
      <c r="D21" s="40">
        <f ca="1">3253*OFFSET(D$113,MATCH($N$1,$C$113:$C$114,0)-1,0)</f>
        <v>3253</v>
      </c>
      <c r="E21" s="40">
        <f ca="1">2574*OFFSET(E$113,MATCH($N$1,$C$113:$C$114,0)-1,0)</f>
        <v>2574</v>
      </c>
      <c r="F21" s="40">
        <f ca="1">2951*OFFSET(F$113,MATCH($N$1,$C$113:$C$114,0)-1,0)</f>
        <v>2951</v>
      </c>
      <c r="G21" s="40">
        <f ca="1">2666*OFFSET(G$113,MATCH($N$1,$C$113:$C$114,0)-1,0)</f>
        <v>2666</v>
      </c>
      <c r="H21" s="40">
        <f ca="1">3053*OFFSET(H$113,MATCH($N$1,$C$113:$C$114,0)-1,0)</f>
        <v>3053</v>
      </c>
      <c r="I21" s="40">
        <f ca="1">3018*OFFSET(I$113,MATCH($N$1,$C$113:$C$114,0)-1,0)</f>
        <v>3018</v>
      </c>
      <c r="J21" s="40">
        <f ca="1">2685*OFFSET(J$113,MATCH($N$1,$C$113:$C$114,0)-1,0)</f>
        <v>2685</v>
      </c>
      <c r="K21" s="40">
        <f ca="1">2789*OFFSET(K$113,MATCH($N$1,$C$113:$C$114,0)-1,0)</f>
        <v>2789</v>
      </c>
      <c r="L21" s="40">
        <f ca="1">2015*OFFSET(L$113,MATCH($N$1,$C$113:$C$114,0)-1,0)</f>
        <v>2015</v>
      </c>
      <c r="M21" s="40">
        <f ca="1">2481*OFFSET(M$113,MATCH($N$1,$C$113:$C$114,0)-1,0)</f>
        <v>2481</v>
      </c>
      <c r="N21" s="40">
        <v>2993</v>
      </c>
      <c r="O21" s="34">
        <f t="shared" ca="1" si="0"/>
        <v>-7.9926221948970186E-2</v>
      </c>
      <c r="P21" s="34">
        <f t="shared" ca="1" si="1"/>
        <v>0.11471135940409684</v>
      </c>
    </row>
    <row r="22" spans="1:16" ht="18" customHeight="1">
      <c r="A22" s="189" t="s">
        <v>204</v>
      </c>
      <c r="B22" s="35" t="s">
        <v>205</v>
      </c>
      <c r="C22" s="41"/>
      <c r="D22" s="41">
        <v>2.5428563450425679</v>
      </c>
      <c r="E22" s="41">
        <v>2.6160266558667833</v>
      </c>
      <c r="F22" s="41">
        <v>2.7120510853008399</v>
      </c>
      <c r="G22" s="41">
        <v>2.3938808048586151</v>
      </c>
      <c r="H22" s="41">
        <v>2.571719803006042</v>
      </c>
      <c r="I22" s="41">
        <v>3.0263660066430669</v>
      </c>
      <c r="J22" s="41">
        <v>3.0436136768320288</v>
      </c>
      <c r="K22" s="41">
        <v>3.2888648912051801</v>
      </c>
      <c r="L22" s="41">
        <v>3.1472824168744631</v>
      </c>
      <c r="M22" s="41">
        <v>3.1469341203342047</v>
      </c>
      <c r="N22" s="41">
        <v>2.960670920202968</v>
      </c>
      <c r="O22" s="29">
        <f t="shared" si="0"/>
        <v>0.16430915414272285</v>
      </c>
      <c r="P22" s="29">
        <f t="shared" si="1"/>
        <v>-2.7251407516144587E-2</v>
      </c>
    </row>
    <row r="23" spans="1:16" ht="18" customHeight="1">
      <c r="A23" s="189"/>
      <c r="B23" s="37" t="s">
        <v>206</v>
      </c>
      <c r="C23" s="38"/>
      <c r="D23" s="38">
        <f ca="1">8.27202899866495*OFFSET(D$113,MATCH($N$1,$C$113:$C$114,0)-1,0)</f>
        <v>8.2720289986649504</v>
      </c>
      <c r="E23" s="38">
        <f ca="1">6.73316157953477*OFFSET(E$113,MATCH($N$1,$C$113:$C$114,0)-1,0)</f>
        <v>6.7331615795347703</v>
      </c>
      <c r="F23" s="38">
        <f ca="1">8.00398262022908*OFFSET(F$113,MATCH($N$1,$C$113:$C$114,0)-1,0)</f>
        <v>8.0039826202290794</v>
      </c>
      <c r="G23" s="38">
        <f ca="1">6.38299180899521*OFFSET(G$113,MATCH($N$1,$C$113:$C$114,0)-1,0)</f>
        <v>6.38299180899521</v>
      </c>
      <c r="H23" s="38">
        <f ca="1">7.85150660403056*OFFSET(H$113,MATCH($N$1,$C$113:$C$114,0)-1,0)</f>
        <v>7.8515066040305603</v>
      </c>
      <c r="I23" s="38">
        <f ca="1">9.13442126808574*OFFSET(I$113,MATCH($N$1,$C$113:$C$114,0)-1,0)</f>
        <v>9.13442126808574</v>
      </c>
      <c r="J23" s="38">
        <f ca="1">8.17288447511972*OFFSET(J$113,MATCH($N$1,$C$113:$C$114,0)-1,0)</f>
        <v>8.1728844751197194</v>
      </c>
      <c r="K23" s="38">
        <f ca="1">9.17386880662396*OFFSET(K$113,MATCH($N$1,$C$113:$C$114,0)-1,0)</f>
        <v>9.1738688066239593</v>
      </c>
      <c r="L23" s="38">
        <f ca="1">6.34107248623459*OFFSET(L$113,MATCH($N$1,$C$113:$C$114,0)-1,0)</f>
        <v>6.34107248623459</v>
      </c>
      <c r="M23" s="38">
        <f ca="1">7.80883518816402*OFFSET(M$113,MATCH($N$1,$C$113:$C$114,0)-1,0)</f>
        <v>7.8088351881640197</v>
      </c>
      <c r="N23" s="38">
        <v>8.8613390401628216</v>
      </c>
      <c r="O23" s="29">
        <f t="shared" ca="1" si="0"/>
        <v>7.1241292987848787E-2</v>
      </c>
      <c r="P23" s="29">
        <f t="shared" ca="1" si="1"/>
        <v>8.423642437855669E-2</v>
      </c>
    </row>
    <row r="24" spans="1:16" ht="18" customHeight="1">
      <c r="A24" s="189"/>
      <c r="B24" s="37" t="s">
        <v>153</v>
      </c>
      <c r="C24" s="38"/>
      <c r="D24" s="38">
        <f ca="1">7.77883463435165*OFFSET(D$113,MATCH($N$1,$C$113:$C$114,0)-1,0)</f>
        <v>7.7788346343516501</v>
      </c>
      <c r="E24" s="38">
        <f ca="1">6.44465831384772*OFFSET(E$113,MATCH($N$1,$C$113:$C$114,0)-1,0)</f>
        <v>6.4446583138477198</v>
      </c>
      <c r="F24" s="38">
        <f ca="1">7.82678156296881*OFFSET(F$113,MATCH($N$1,$C$113:$C$114,0)-1,0)</f>
        <v>7.8267815629688098</v>
      </c>
      <c r="G24" s="38">
        <f ca="1">6.0993752674776*OFFSET(G$113,MATCH($N$1,$C$113:$C$114,0)-1,0)</f>
        <v>6.0993752674776003</v>
      </c>
      <c r="H24" s="38">
        <f ca="1">7.24393106171149*OFFSET(H$113,MATCH($N$1,$C$113:$C$114,0)-1,0)</f>
        <v>7.24393106171149</v>
      </c>
      <c r="I24" s="38">
        <f ca="1">8.30011650475874*OFFSET(I$113,MATCH($N$1,$C$113:$C$114,0)-1,0)</f>
        <v>8.3001165047587406</v>
      </c>
      <c r="J24" s="38">
        <f ca="1">8.40963833306061*OFFSET(J$113,MATCH($N$1,$C$113:$C$114,0)-1,0)</f>
        <v>8.4096383330606095</v>
      </c>
      <c r="K24" s="38">
        <f ca="1">8.42435443596079*OFFSET(K$113,MATCH($N$1,$C$113:$C$114,0)-1,0)</f>
        <v>8.4243544359607903</v>
      </c>
      <c r="L24" s="38">
        <f ca="1">6.46488183055726*OFFSET(L$113,MATCH($N$1,$C$113:$C$114,0)-1,0)</f>
        <v>6.4648818305572604</v>
      </c>
      <c r="M24" s="38">
        <f ca="1">7.45304430080848*OFFSET(M$113,MATCH($N$1,$C$113:$C$114,0)-1,0)</f>
        <v>7.4530443008084797</v>
      </c>
      <c r="N24" s="38">
        <v>9.0099981603392436</v>
      </c>
      <c r="O24" s="29">
        <f t="shared" ca="1" si="0"/>
        <v>0.1582709472381281</v>
      </c>
      <c r="P24" s="29">
        <f t="shared" ca="1" si="1"/>
        <v>7.1389494232879658E-2</v>
      </c>
    </row>
    <row r="25" spans="1:16" ht="18" customHeight="1">
      <c r="A25" s="189"/>
      <c r="B25" s="37" t="s">
        <v>154</v>
      </c>
      <c r="C25" s="38"/>
      <c r="D25" s="38">
        <f ca="1">0.884423509703667*OFFSET(D$113,MATCH($N$1,$C$113:$C$114,0)-1,0)</f>
        <v>0.88442350970366701</v>
      </c>
      <c r="E25" s="38">
        <f ca="1">0.615466391259004*OFFSET(E$113,MATCH($N$1,$C$113:$C$114,0)-1,0)</f>
        <v>0.61546639125900404</v>
      </c>
      <c r="F25" s="38">
        <f ca="1">0.674775470058441*OFFSET(F$113,MATCH($N$1,$C$113:$C$114,0)-1,0)</f>
        <v>0.67477547005844096</v>
      </c>
      <c r="G25" s="38">
        <f ca="1">0.675051614121217*OFFSET(G$113,MATCH($N$1,$C$113:$C$114,0)-1,0)</f>
        <v>0.67505161412121695</v>
      </c>
      <c r="H25" s="38">
        <f ca="1">0.809772546322568*OFFSET(H$113,MATCH($N$1,$C$113:$C$114,0)-1,0)</f>
        <v>0.80977254632256801</v>
      </c>
      <c r="I25" s="38">
        <f ca="1">1.14500713302518*OFFSET(I$113,MATCH($N$1,$C$113:$C$114,0)-1,0)</f>
        <v>1.1450071330251801</v>
      </c>
      <c r="J25" s="38">
        <f ca="1">0.0673203967585995*OFFSET(J$113,MATCH($N$1,$C$113:$C$114,0)-1,0)</f>
        <v>6.7320396758599493E-2</v>
      </c>
      <c r="K25" s="38">
        <f ca="1">1.08765342889491*OFFSET(K$113,MATCH($N$1,$C$113:$C$114,0)-1,0)</f>
        <v>1.08765342889491</v>
      </c>
      <c r="L25" s="38">
        <f ca="1">0.393403836685611*OFFSET(L$113,MATCH($N$1,$C$113:$C$114,0)-1,0)</f>
        <v>0.39340383668561102</v>
      </c>
      <c r="M25" s="38">
        <f ca="1">0.726572277988518*OFFSET(M$113,MATCH($N$1,$C$113:$C$114,0)-1,0)</f>
        <v>0.72657227798851798</v>
      </c>
      <c r="N25" s="38">
        <v>0.27209756256593087</v>
      </c>
      <c r="O25" s="29">
        <f t="shared" ca="1" si="0"/>
        <v>-0.69234471994406921</v>
      </c>
      <c r="P25" s="29">
        <f t="shared" ca="1" si="1"/>
        <v>3.0418294553674508</v>
      </c>
    </row>
    <row r="26" spans="1:16" ht="18" customHeight="1">
      <c r="A26" s="189"/>
      <c r="B26" s="37" t="s">
        <v>207</v>
      </c>
      <c r="C26" s="33"/>
      <c r="D26" s="33">
        <f ca="1">77.29*OFFSET(D$113,MATCH($N$1,$C$113:$C$114,0)-1,0)</f>
        <v>77.290000000000006</v>
      </c>
      <c r="E26" s="33">
        <f ca="1">88.2*OFFSET(E$113,MATCH($N$1,$C$113:$C$114,0)-1,0)</f>
        <v>88.2</v>
      </c>
      <c r="F26" s="33">
        <f ca="1">97.41*OFFSET(F$113,MATCH($N$1,$C$113:$C$114,0)-1,0)</f>
        <v>97.41</v>
      </c>
      <c r="G26" s="33">
        <f ca="1">101.03*OFFSET(G$113,MATCH($N$1,$C$113:$C$114,0)-1,0)</f>
        <v>101.03</v>
      </c>
      <c r="H26" s="33">
        <f ca="1">83.99*OFFSET(H$113,MATCH($N$1,$C$113:$C$114,0)-1,0)</f>
        <v>83.99</v>
      </c>
      <c r="I26" s="33">
        <f ca="1">114.99*OFFSET(I$113,MATCH($N$1,$C$113:$C$114,0)-1,0)</f>
        <v>114.99</v>
      </c>
      <c r="J26" s="33">
        <f ca="1">75.36*OFFSET(J$113,MATCH($N$1,$C$113:$C$114,0)-1,0)</f>
        <v>75.36</v>
      </c>
      <c r="K26" s="33">
        <f ca="1">170.78*OFFSET(K$113,MATCH($N$1,$C$113:$C$114,0)-1,0)</f>
        <v>170.78</v>
      </c>
      <c r="L26" s="33">
        <f ca="1">68.06*OFFSET(L$113,MATCH($N$1,$C$113:$C$114,0)-1,0)</f>
        <v>68.06</v>
      </c>
      <c r="M26" s="33">
        <f ca="1">74.66*OFFSET(M$113,MATCH($N$1,$C$113:$C$114,0)-1,0)</f>
        <v>74.66</v>
      </c>
      <c r="N26" s="33">
        <v>85.88</v>
      </c>
      <c r="O26" s="29">
        <f t="shared" ca="1" si="0"/>
        <v>0.11113986285418538</v>
      </c>
      <c r="P26" s="29">
        <f t="shared" ca="1" si="1"/>
        <v>0.13959660297239909</v>
      </c>
    </row>
    <row r="27" spans="1:16" ht="18" customHeight="1">
      <c r="A27" s="190"/>
      <c r="B27" s="37" t="s">
        <v>208</v>
      </c>
      <c r="C27" s="33"/>
      <c r="D27" s="33">
        <f ca="1">8.27*OFFSET(D$113,MATCH($N$1,$C$113:$C$114,0)-1,0)</f>
        <v>8.27</v>
      </c>
      <c r="E27" s="33">
        <f ca="1">8.06*OFFSET(E$113,MATCH($N$1,$C$113:$C$114,0)-1,0)</f>
        <v>8.06</v>
      </c>
      <c r="F27" s="33">
        <f ca="1">8.21*OFFSET(F$113,MATCH($N$1,$C$113:$C$114,0)-1,0)</f>
        <v>8.2100000000000009</v>
      </c>
      <c r="G27" s="33">
        <f ca="1">10.69*OFFSET(G$113,MATCH($N$1,$C$113:$C$114,0)-1,0)</f>
        <v>10.69</v>
      </c>
      <c r="H27" s="33">
        <f ca="1">8.66*OFFSET(H$113,MATCH($N$1,$C$113:$C$114,0)-1,0)</f>
        <v>8.66</v>
      </c>
      <c r="I27" s="33">
        <f ca="1">14.41*OFFSET(I$113,MATCH($N$1,$C$113:$C$114,0)-1,0)</f>
        <v>14.41</v>
      </c>
      <c r="J27" s="33">
        <f ca="1">0.62*OFFSET(J$113,MATCH($N$1,$C$113:$C$114,0)-1,0)</f>
        <v>0.62</v>
      </c>
      <c r="K27" s="33">
        <f ca="1">20.25*OFFSET(K$113,MATCH($N$1,$C$113:$C$114,0)-1,0)</f>
        <v>20.25</v>
      </c>
      <c r="L27" s="33">
        <f ca="1">4.22*OFFSET(L$113,MATCH($N$1,$C$113:$C$114,0)-1,0)</f>
        <v>4.22</v>
      </c>
      <c r="M27" s="33">
        <f ca="1">6.95*OFFSET(M$113,MATCH($N$1,$C$113:$C$114,0)-1,0)</f>
        <v>6.95</v>
      </c>
      <c r="N27" s="33">
        <v>2.63</v>
      </c>
      <c r="O27" s="34">
        <f t="shared" ca="1" si="0"/>
        <v>-0.68198307134220071</v>
      </c>
      <c r="P27" s="34">
        <f t="shared" ca="1" si="1"/>
        <v>3.2419354838709675</v>
      </c>
    </row>
    <row r="28" spans="1:16" s="78" customFormat="1" ht="18" customHeight="1">
      <c r="A28" s="191" t="s">
        <v>209</v>
      </c>
      <c r="B28" s="82" t="s">
        <v>200</v>
      </c>
      <c r="C28" s="83"/>
      <c r="D28" s="83">
        <f ca="1">617.9*OFFSET(D$113,MATCH($N$1,$C$113:$C$114,0)-1,0)</f>
        <v>617.9</v>
      </c>
      <c r="E28" s="83">
        <f ca="1">499*OFFSET(E$113,MATCH($N$1,$C$113:$C$114,0)-1,0)</f>
        <v>499</v>
      </c>
      <c r="F28" s="83">
        <f ca="1">662.2*OFFSET(F$113,MATCH($N$1,$C$113:$C$114,0)-1,0)</f>
        <v>662.2</v>
      </c>
      <c r="G28" s="83">
        <f ca="1">461.2*OFFSET(G$113,MATCH($N$1,$C$113:$C$114,0)-1,0)</f>
        <v>461.2</v>
      </c>
      <c r="H28" s="83">
        <f ca="1">683.9*OFFSET(H$113,MATCH($N$1,$C$113:$C$114,0)-1,0)</f>
        <v>683.9</v>
      </c>
      <c r="I28" s="83">
        <f ca="1">811.4*OFFSET(I$113,MATCH($N$1,$C$113:$C$114,0)-1,0)</f>
        <v>811.4</v>
      </c>
      <c r="J28" s="83">
        <f ca="1">696.1*OFFSET(J$113,MATCH($N$1,$C$113:$C$114,0)-1,0)</f>
        <v>696.1</v>
      </c>
      <c r="K28" s="83">
        <f ca="1">833.3*OFFSET(K$113,MATCH($N$1,$C$113:$C$114,0)-1,0)</f>
        <v>833.3</v>
      </c>
      <c r="L28" s="83">
        <f ca="1">464*OFFSET(L$113,MATCH($N$1,$C$113:$C$114,0)-1,0)</f>
        <v>464</v>
      </c>
      <c r="M28" s="83">
        <f ca="1">692.8*OFFSET(M$113,MATCH($N$1,$C$113:$C$114,0)-1,0)</f>
        <v>692.8</v>
      </c>
      <c r="N28" s="83">
        <v>743.2</v>
      </c>
      <c r="O28" s="84">
        <f t="shared" ca="1" si="0"/>
        <v>0.2027836219452987</v>
      </c>
      <c r="P28" s="84">
        <f t="shared" ca="1" si="1"/>
        <v>6.7662692141933656E-2</v>
      </c>
    </row>
    <row r="29" spans="1:16" s="78" customFormat="1" ht="18" customHeight="1">
      <c r="A29" s="192"/>
      <c r="B29" s="85" t="s">
        <v>210</v>
      </c>
      <c r="C29" s="86"/>
      <c r="D29" s="86">
        <f ca="1">29.2*OFFSET(D$113,MATCH($N$1,$C$113:$C$114,0)-1,0)</f>
        <v>29.2</v>
      </c>
      <c r="E29" s="86">
        <f ca="1">24.2*OFFSET(E$113,MATCH($N$1,$C$113:$C$114,0)-1,0)</f>
        <v>24.2</v>
      </c>
      <c r="F29" s="86">
        <f ca="1">41.2*OFFSET(F$113,MATCH($N$1,$C$113:$C$114,0)-1,0)</f>
        <v>41.2</v>
      </c>
      <c r="G29" s="86">
        <f ca="1">28.3*OFFSET(G$113,MATCH($N$1,$C$113:$C$114,0)-1,0)</f>
        <v>28.3</v>
      </c>
      <c r="H29" s="86">
        <f ca="1">17.6*OFFSET(H$113,MATCH($N$1,$C$113:$C$114,0)-1,0)</f>
        <v>17.600000000000001</v>
      </c>
      <c r="I29" s="86">
        <f ca="1">27.6*OFFSET(I$113,MATCH($N$1,$C$113:$C$114,0)-1,0)</f>
        <v>27.6</v>
      </c>
      <c r="J29" s="86">
        <f ca="1">25.9*OFFSET(J$113,MATCH($N$1,$C$113:$C$114,0)-1,0)</f>
        <v>25.9</v>
      </c>
      <c r="K29" s="86">
        <f ca="1">30.7*OFFSET(K$113,MATCH($N$1,$C$113:$C$114,0)-1,0)</f>
        <v>30.7</v>
      </c>
      <c r="L29" s="86">
        <f ca="1">37.8*OFFSET(L$113,MATCH($N$1,$C$113:$C$114,0)-1,0)</f>
        <v>37.799999999999997</v>
      </c>
      <c r="M29" s="86">
        <f ca="1">32.9*OFFSET(M$113,MATCH($N$1,$C$113:$C$114,0)-1,0)</f>
        <v>32.9</v>
      </c>
      <c r="N29" s="86">
        <v>35.300000000000004</v>
      </c>
      <c r="O29" s="84">
        <f t="shared" ca="1" si="0"/>
        <v>0.20890410958904126</v>
      </c>
      <c r="P29" s="84">
        <f t="shared" ca="1" si="1"/>
        <v>0.36293436293436315</v>
      </c>
    </row>
    <row r="30" spans="1:16" s="78" customFormat="1" ht="18" customHeight="1">
      <c r="A30" s="192"/>
      <c r="B30" s="87" t="s">
        <v>211</v>
      </c>
      <c r="C30" s="88"/>
      <c r="D30" s="88">
        <f ca="1">647.1*OFFSET(D$113,MATCH($N$1,$C$113:$C$114,0)-1,0)</f>
        <v>647.1</v>
      </c>
      <c r="E30" s="88">
        <f ca="1">523.2*OFFSET(E$113,MATCH($N$1,$C$113:$C$114,0)-1,0)</f>
        <v>523.20000000000005</v>
      </c>
      <c r="F30" s="88">
        <f ca="1">703.4*OFFSET(F$113,MATCH($N$1,$C$113:$C$114,0)-1,0)</f>
        <v>703.4</v>
      </c>
      <c r="G30" s="88">
        <f ca="1">489.5*OFFSET(G$113,MATCH($N$1,$C$113:$C$114,0)-1,0)</f>
        <v>489.5</v>
      </c>
      <c r="H30" s="88">
        <f ca="1">701.5*OFFSET(H$113,MATCH($N$1,$C$113:$C$114,0)-1,0)</f>
        <v>701.5</v>
      </c>
      <c r="I30" s="88">
        <f ca="1">839*OFFSET(I$113,MATCH($N$1,$C$113:$C$114,0)-1,0)</f>
        <v>839</v>
      </c>
      <c r="J30" s="88">
        <f ca="1">722*OFFSET(J$113,MATCH($N$1,$C$113:$C$114,0)-1,0)</f>
        <v>722</v>
      </c>
      <c r="K30" s="88">
        <f ca="1">864*OFFSET(K$113,MATCH($N$1,$C$113:$C$114,0)-1,0)</f>
        <v>864</v>
      </c>
      <c r="L30" s="88">
        <f ca="1">501.8*OFFSET(L$113,MATCH($N$1,$C$113:$C$114,0)-1,0)</f>
        <v>501.8</v>
      </c>
      <c r="M30" s="88">
        <f ca="1">725.7*OFFSET(M$113,MATCH($N$1,$C$113:$C$114,0)-1,0)</f>
        <v>725.7</v>
      </c>
      <c r="N30" s="88">
        <v>778.5</v>
      </c>
      <c r="O30" s="84">
        <f t="shared" ca="1" si="0"/>
        <v>0.20305980528511819</v>
      </c>
      <c r="P30" s="84">
        <f t="shared" ca="1" si="1"/>
        <v>7.8254847645429365E-2</v>
      </c>
    </row>
    <row r="31" spans="1:16" s="78" customFormat="1" ht="18" customHeight="1">
      <c r="A31" s="192"/>
      <c r="B31" s="85" t="s">
        <v>212</v>
      </c>
      <c r="C31" s="86"/>
      <c r="D31" s="86">
        <f ca="1">197.3*OFFSET(D$113,MATCH($N$1,$C$113:$C$114,0)-1,0)</f>
        <v>197.3</v>
      </c>
      <c r="E31" s="86">
        <f ca="1">178.6*OFFSET(E$113,MATCH($N$1,$C$113:$C$114,0)-1,0)</f>
        <v>178.6</v>
      </c>
      <c r="F31" s="86">
        <f ca="1">183.6*OFFSET(F$113,MATCH($N$1,$C$113:$C$114,0)-1,0)</f>
        <v>183.6</v>
      </c>
      <c r="G31" s="86">
        <f ca="1">112.5*OFFSET(G$113,MATCH($N$1,$C$113:$C$114,0)-1,0)</f>
        <v>112.5</v>
      </c>
      <c r="H31" s="86">
        <f ca="1">130.7*OFFSET(H$113,MATCH($N$1,$C$113:$C$114,0)-1,0)</f>
        <v>130.69999999999999</v>
      </c>
      <c r="I31" s="86">
        <f ca="1">163.7*OFFSET(I$113,MATCH($N$1,$C$113:$C$114,0)-1,0)</f>
        <v>163.69999999999999</v>
      </c>
      <c r="J31" s="86">
        <f ca="1">188.4*OFFSET(J$113,MATCH($N$1,$C$113:$C$114,0)-1,0)</f>
        <v>188.4</v>
      </c>
      <c r="K31" s="86">
        <f ca="1">190.7*OFFSET(K$113,MATCH($N$1,$C$113:$C$114,0)-1,0)</f>
        <v>190.7</v>
      </c>
      <c r="L31" s="86">
        <f ca="1">109.2*OFFSET(L$113,MATCH($N$1,$C$113:$C$114,0)-1,0)</f>
        <v>109.2</v>
      </c>
      <c r="M31" s="86">
        <f ca="1">162.7*OFFSET(M$113,MATCH($N$1,$C$113:$C$114,0)-1,0)</f>
        <v>162.69999999999999</v>
      </c>
      <c r="N31" s="86">
        <v>273.10000000000002</v>
      </c>
      <c r="O31" s="84">
        <f t="shared" ca="1" si="0"/>
        <v>0.38418651799290426</v>
      </c>
      <c r="P31" s="84">
        <f t="shared" ca="1" si="1"/>
        <v>0.44957537154989391</v>
      </c>
    </row>
    <row r="32" spans="1:16" s="78" customFormat="1" ht="18" customHeight="1">
      <c r="A32" s="192"/>
      <c r="B32" s="85" t="s">
        <v>213</v>
      </c>
      <c r="C32" s="86"/>
      <c r="D32" s="86">
        <f ca="1">144.5*OFFSET(D$113,MATCH($N$1,$C$113:$C$114,0)-1,0)</f>
        <v>144.5</v>
      </c>
      <c r="E32" s="86">
        <f ca="1">105.6*OFFSET(E$113,MATCH($N$1,$C$113:$C$114,0)-1,0)</f>
        <v>105.6</v>
      </c>
      <c r="F32" s="86">
        <f ca="1">143.9*OFFSET(F$113,MATCH($N$1,$C$113:$C$114,0)-1,0)</f>
        <v>143.9</v>
      </c>
      <c r="G32" s="86">
        <f ca="1">118.5*OFFSET(G$113,MATCH($N$1,$C$113:$C$114,0)-1,0)</f>
        <v>118.5</v>
      </c>
      <c r="H32" s="86">
        <f ca="1">168.6*OFFSET(H$113,MATCH($N$1,$C$113:$C$114,0)-1,0)</f>
        <v>168.6</v>
      </c>
      <c r="I32" s="86">
        <f ca="1">197.7*OFFSET(I$113,MATCH($N$1,$C$113:$C$114,0)-1,0)</f>
        <v>197.7</v>
      </c>
      <c r="J32" s="86">
        <f ca="1">178.7*OFFSET(J$113,MATCH($N$1,$C$113:$C$114,0)-1,0)</f>
        <v>178.7</v>
      </c>
      <c r="K32" s="86">
        <f ca="1">229.4*OFFSET(K$113,MATCH($N$1,$C$113:$C$114,0)-1,0)</f>
        <v>229.4</v>
      </c>
      <c r="L32" s="86">
        <f ca="1">131.1*OFFSET(L$113,MATCH($N$1,$C$113:$C$114,0)-1,0)</f>
        <v>131.1</v>
      </c>
      <c r="M32" s="86">
        <f ca="1">209.2*OFFSET(M$113,MATCH($N$1,$C$113:$C$114,0)-1,0)</f>
        <v>209.2</v>
      </c>
      <c r="N32" s="86">
        <v>172.1</v>
      </c>
      <c r="O32" s="84">
        <f t="shared" ca="1" si="0"/>
        <v>0.19100346020761241</v>
      </c>
      <c r="P32" s="84">
        <f t="shared" ca="1" si="1"/>
        <v>-3.6933407946278647E-2</v>
      </c>
    </row>
    <row r="33" spans="1:16" s="78" customFormat="1" ht="18" customHeight="1">
      <c r="A33" s="192"/>
      <c r="B33" s="85" t="s">
        <v>214</v>
      </c>
      <c r="C33" s="86"/>
      <c r="D33" s="86">
        <f ca="1">121.3*OFFSET(D$113,MATCH($N$1,$C$113:$C$114,0)-1,0)</f>
        <v>121.3</v>
      </c>
      <c r="E33" s="86">
        <f ca="1">90.4*OFFSET(E$113,MATCH($N$1,$C$113:$C$114,0)-1,0)</f>
        <v>90.4</v>
      </c>
      <c r="F33" s="86">
        <f ca="1">138.1*OFFSET(F$113,MATCH($N$1,$C$113:$C$114,0)-1,0)</f>
        <v>138.1</v>
      </c>
      <c r="G33" s="86">
        <f ca="1">100.9*OFFSET(G$113,MATCH($N$1,$C$113:$C$114,0)-1,0)</f>
        <v>100.9</v>
      </c>
      <c r="H33" s="86">
        <f ca="1">163.9*OFFSET(H$113,MATCH($N$1,$C$113:$C$114,0)-1,0)</f>
        <v>163.9</v>
      </c>
      <c r="I33" s="86">
        <f ca="1">196.6*OFFSET(I$113,MATCH($N$1,$C$113:$C$114,0)-1,0)</f>
        <v>196.6</v>
      </c>
      <c r="J33" s="86">
        <f ca="1">165.6*OFFSET(J$113,MATCH($N$1,$C$113:$C$114,0)-1,0)</f>
        <v>165.6</v>
      </c>
      <c r="K33" s="86">
        <f ca="1">182.2*OFFSET(K$113,MATCH($N$1,$C$113:$C$114,0)-1,0)</f>
        <v>182.2</v>
      </c>
      <c r="L33" s="86">
        <f ca="1">97*OFFSET(L$113,MATCH($N$1,$C$113:$C$114,0)-1,0)</f>
        <v>97</v>
      </c>
      <c r="M33" s="86">
        <f ca="1">135.7*OFFSET(M$113,MATCH($N$1,$C$113:$C$114,0)-1,0)</f>
        <v>135.69999999999999</v>
      </c>
      <c r="N33" s="86">
        <v>145.6</v>
      </c>
      <c r="O33" s="84">
        <f t="shared" ca="1" si="0"/>
        <v>0.20032976092333057</v>
      </c>
      <c r="P33" s="84">
        <f t="shared" ca="1" si="1"/>
        <v>-0.12077294685990339</v>
      </c>
    </row>
    <row r="34" spans="1:16" s="78" customFormat="1" ht="18" customHeight="1">
      <c r="A34" s="192"/>
      <c r="B34" s="85" t="s">
        <v>215</v>
      </c>
      <c r="C34" s="86"/>
      <c r="D34" s="86">
        <f ca="1">463.1*OFFSET(D$113,MATCH($N$1,$C$113:$C$114,0)-1,0)</f>
        <v>463.1</v>
      </c>
      <c r="E34" s="86">
        <f ca="1">374.6*OFFSET(E$113,MATCH($N$1,$C$113:$C$114,0)-1,0)</f>
        <v>374.6</v>
      </c>
      <c r="F34" s="86">
        <f ca="1">465.6*OFFSET(F$113,MATCH($N$1,$C$113:$C$114,0)-1,0)</f>
        <v>465.6</v>
      </c>
      <c r="G34" s="86">
        <f ca="1">331.9*OFFSET(G$113,MATCH($N$1,$C$113:$C$114,0)-1,0)</f>
        <v>331.9</v>
      </c>
      <c r="H34" s="86">
        <f ca="1">463.2*OFFSET(H$113,MATCH($N$1,$C$113:$C$114,0)-1,0)</f>
        <v>463.2</v>
      </c>
      <c r="I34" s="86">
        <f ca="1">558*OFFSET(I$113,MATCH($N$1,$C$113:$C$114,0)-1,0)</f>
        <v>558</v>
      </c>
      <c r="J34" s="86">
        <f ca="1">532.7*OFFSET(J$113,MATCH($N$1,$C$113:$C$114,0)-1,0)</f>
        <v>532.70000000000005</v>
      </c>
      <c r="K34" s="86">
        <f ca="1">602.3*OFFSET(K$113,MATCH($N$1,$C$113:$C$114,0)-1,0)</f>
        <v>602.29999999999995</v>
      </c>
      <c r="L34" s="86">
        <f ca="1">337.3*OFFSET(L$113,MATCH($N$1,$C$113:$C$114,0)-1,0)</f>
        <v>337.3</v>
      </c>
      <c r="M34" s="86">
        <f ca="1">507.5*OFFSET(M$113,MATCH($N$1,$C$113:$C$114,0)-1,0)</f>
        <v>507.5</v>
      </c>
      <c r="N34" s="86">
        <v>590.80000000000007</v>
      </c>
      <c r="O34" s="84">
        <f t="shared" ca="1" si="0"/>
        <v>0.27575037788814521</v>
      </c>
      <c r="P34" s="84">
        <f t="shared" ca="1" si="1"/>
        <v>0.10906701708278584</v>
      </c>
    </row>
    <row r="35" spans="1:16" s="78" customFormat="1" ht="18" customHeight="1">
      <c r="A35" s="192"/>
      <c r="B35" s="85" t="s">
        <v>216</v>
      </c>
      <c r="C35" s="86"/>
      <c r="D35" s="86">
        <f ca="1">117.9*OFFSET(D$113,MATCH($N$1,$C$113:$C$114,0)-1,0)</f>
        <v>117.9</v>
      </c>
      <c r="E35" s="86">
        <f ca="1">103*OFFSET(E$113,MATCH($N$1,$C$113:$C$114,0)-1,0)</f>
        <v>103</v>
      </c>
      <c r="F35" s="86">
        <f ca="1">182*OFFSET(F$113,MATCH($N$1,$C$113:$C$114,0)-1,0)</f>
        <v>182</v>
      </c>
      <c r="G35" s="86">
        <f ca="1">108.8*OFFSET(G$113,MATCH($N$1,$C$113:$C$114,0)-1,0)</f>
        <v>108.8</v>
      </c>
      <c r="H35" s="86">
        <f ca="1">167.8*OFFSET(H$113,MATCH($N$1,$C$113:$C$114,0)-1,0)</f>
        <v>167.8</v>
      </c>
      <c r="I35" s="86">
        <f ca="1">179.3*OFFSET(I$113,MATCH($N$1,$C$113:$C$114,0)-1,0)</f>
        <v>179.3</v>
      </c>
      <c r="J35" s="86">
        <f ca="1">183.6*OFFSET(J$113,MATCH($N$1,$C$113:$C$114,0)-1,0)</f>
        <v>183.6</v>
      </c>
      <c r="K35" s="86">
        <f ca="1">162.9*OFFSET(K$113,MATCH($N$1,$C$113:$C$114,0)-1,0)</f>
        <v>162.9</v>
      </c>
      <c r="L35" s="86">
        <f ca="1">135.7*OFFSET(L$113,MATCH($N$1,$C$113:$C$114,0)-1,0)</f>
        <v>135.69999999999999</v>
      </c>
      <c r="M35" s="86">
        <f ca="1">153.7*OFFSET(M$113,MATCH($N$1,$C$113:$C$114,0)-1,0)</f>
        <v>153.69999999999999</v>
      </c>
      <c r="N35" s="86">
        <v>164.9</v>
      </c>
      <c r="O35" s="84">
        <f t="shared" ca="1" si="0"/>
        <v>0.39864291772688715</v>
      </c>
      <c r="P35" s="84">
        <f t="shared" ca="1" si="1"/>
        <v>-0.10185185185185179</v>
      </c>
    </row>
    <row r="36" spans="1:16" s="78" customFormat="1" ht="18" customHeight="1">
      <c r="A36" s="192"/>
      <c r="B36" s="85" t="s">
        <v>217</v>
      </c>
      <c r="C36" s="86"/>
      <c r="D36" s="86">
        <f ca="1">581*OFFSET(D$113,MATCH($N$1,$C$113:$C$114,0)-1,0)</f>
        <v>581</v>
      </c>
      <c r="E36" s="86">
        <f ca="1">477.6*OFFSET(E$113,MATCH($N$1,$C$113:$C$114,0)-1,0)</f>
        <v>477.6</v>
      </c>
      <c r="F36" s="86">
        <f ca="1">647.5*OFFSET(F$113,MATCH($N$1,$C$113:$C$114,0)-1,0)</f>
        <v>647.5</v>
      </c>
      <c r="G36" s="86">
        <f ca="1">440.7*OFFSET(G$113,MATCH($N$1,$C$113:$C$114,0)-1,0)</f>
        <v>440.7</v>
      </c>
      <c r="H36" s="86">
        <f ca="1">631*OFFSET(H$113,MATCH($N$1,$C$113:$C$114,0)-1,0)</f>
        <v>631</v>
      </c>
      <c r="I36" s="86">
        <f ca="1">737.3*OFFSET(I$113,MATCH($N$1,$C$113:$C$114,0)-1,0)</f>
        <v>737.3</v>
      </c>
      <c r="J36" s="86">
        <f ca="1">716.3*OFFSET(J$113,MATCH($N$1,$C$113:$C$114,0)-1,0)</f>
        <v>716.3</v>
      </c>
      <c r="K36" s="86">
        <f ca="1">765.2*OFFSET(K$113,MATCH($N$1,$C$113:$C$114,0)-1,0)</f>
        <v>765.2</v>
      </c>
      <c r="L36" s="86">
        <f ca="1">473*OFFSET(L$113,MATCH($N$1,$C$113:$C$114,0)-1,0)</f>
        <v>473</v>
      </c>
      <c r="M36" s="86">
        <f ca="1">661.2*OFFSET(M$113,MATCH($N$1,$C$113:$C$114,0)-1,0)</f>
        <v>661.2</v>
      </c>
      <c r="N36" s="86">
        <v>755.7</v>
      </c>
      <c r="O36" s="84">
        <f t="shared" ca="1" si="0"/>
        <v>0.30068846815834777</v>
      </c>
      <c r="P36" s="84">
        <f t="shared" ca="1" si="1"/>
        <v>5.5004886220857314E-2</v>
      </c>
    </row>
    <row r="37" spans="1:16" s="78" customFormat="1" ht="18" customHeight="1">
      <c r="A37" s="192"/>
      <c r="B37" s="87" t="s">
        <v>218</v>
      </c>
      <c r="C37" s="88"/>
      <c r="D37" s="88">
        <f ca="1">210.6*OFFSET(D$113,MATCH($N$1,$C$113:$C$114,0)-1,0)</f>
        <v>210.6</v>
      </c>
      <c r="E37" s="88">
        <f ca="1">151.2*OFFSET(E$113,MATCH($N$1,$C$113:$C$114,0)-1,0)</f>
        <v>151.19999999999999</v>
      </c>
      <c r="F37" s="88">
        <f ca="1">199.7*OFFSET(F$113,MATCH($N$1,$C$113:$C$114,0)-1,0)</f>
        <v>199.7</v>
      </c>
      <c r="G37" s="88">
        <f ca="1">167.3*OFFSET(G$113,MATCH($N$1,$C$113:$C$114,0)-1,0)</f>
        <v>167.3</v>
      </c>
      <c r="H37" s="88">
        <f ca="1">239.1*OFFSET(H$113,MATCH($N$1,$C$113:$C$114,0)-1,0)</f>
        <v>239.1</v>
      </c>
      <c r="I37" s="88">
        <f ca="1">299.4*OFFSET(I$113,MATCH($N$1,$C$113:$C$114,0)-1,0)</f>
        <v>299.39999999999998</v>
      </c>
      <c r="J37" s="88">
        <f ca="1">184.4*OFFSET(J$113,MATCH($N$1,$C$113:$C$114,0)-1,0)</f>
        <v>184.4</v>
      </c>
      <c r="K37" s="88">
        <f ca="1">328.2*OFFSET(K$113,MATCH($N$1,$C$113:$C$114,0)-1,0)</f>
        <v>328.2</v>
      </c>
      <c r="L37" s="88">
        <f ca="1">159.9*OFFSET(L$113,MATCH($N$1,$C$113:$C$114,0)-1,0)</f>
        <v>159.9</v>
      </c>
      <c r="M37" s="88">
        <f ca="1">273.7*OFFSET(M$113,MATCH($N$1,$C$113:$C$114,0)-1,0)</f>
        <v>273.7</v>
      </c>
      <c r="N37" s="88">
        <v>194.9</v>
      </c>
      <c r="O37" s="84">
        <f t="shared" ca="1" si="0"/>
        <v>-7.4548907882241167E-2</v>
      </c>
      <c r="P37" s="84">
        <f t="shared" ca="1" si="1"/>
        <v>5.6941431670281997E-2</v>
      </c>
    </row>
    <row r="38" spans="1:16" s="78" customFormat="1" ht="18" customHeight="1">
      <c r="A38" s="192"/>
      <c r="B38" s="87" t="s">
        <v>219</v>
      </c>
      <c r="C38" s="88"/>
      <c r="D38" s="88">
        <f ca="1">66.1*OFFSET(D$113,MATCH($N$1,$C$113:$C$114,0)-1,0)</f>
        <v>66.099999999999994</v>
      </c>
      <c r="E38" s="88">
        <f ca="1">45.6*OFFSET(E$113,MATCH($N$1,$C$113:$C$114,0)-1,0)</f>
        <v>45.6</v>
      </c>
      <c r="F38" s="88">
        <f ca="1">55.8*OFFSET(F$113,MATCH($N$1,$C$113:$C$114,0)-1,0)</f>
        <v>55.8</v>
      </c>
      <c r="G38" s="88">
        <f ca="1">48.8*OFFSET(G$113,MATCH($N$1,$C$113:$C$114,0)-1,0)</f>
        <v>48.8</v>
      </c>
      <c r="H38" s="88">
        <f ca="1">70.5*OFFSET(H$113,MATCH($N$1,$C$113:$C$114,0)-1,0)</f>
        <v>70.5</v>
      </c>
      <c r="I38" s="88">
        <f ca="1">101.7*OFFSET(I$113,MATCH($N$1,$C$113:$C$114,0)-1,0)</f>
        <v>101.7</v>
      </c>
      <c r="J38" s="88">
        <f ca="1">5.7*OFFSET(J$113,MATCH($N$1,$C$113:$C$114,0)-1,0)</f>
        <v>5.7</v>
      </c>
      <c r="K38" s="88">
        <f ca="1">98.8*OFFSET(K$113,MATCH($N$1,$C$113:$C$114,0)-1,0)</f>
        <v>98.8</v>
      </c>
      <c r="L38" s="88">
        <f ca="1">28.8*OFFSET(L$113,MATCH($N$1,$C$113:$C$114,0)-1,0)</f>
        <v>28.8</v>
      </c>
      <c r="M38" s="88">
        <f ca="1">64.5*OFFSET(M$113,MATCH($N$1,$C$113:$C$114,0)-1,0)</f>
        <v>64.5</v>
      </c>
      <c r="N38" s="88">
        <v>22.8</v>
      </c>
      <c r="O38" s="84">
        <f t="shared" ca="1" si="0"/>
        <v>-0.65506807866868377</v>
      </c>
      <c r="P38" s="84">
        <f t="shared" ca="1" si="1"/>
        <v>3</v>
      </c>
    </row>
    <row r="39" spans="1:16" s="78" customFormat="1" ht="18" customHeight="1">
      <c r="A39" s="192"/>
      <c r="B39" s="85" t="s">
        <v>220</v>
      </c>
      <c r="C39" s="86"/>
      <c r="D39" s="86">
        <f ca="1">39.7*OFFSET(D$113,MATCH($N$1,$C$113:$C$114,0)-1,0)</f>
        <v>39.700000000000003</v>
      </c>
      <c r="E39" s="86">
        <f ca="1">39.8*OFFSET(E$113,MATCH($N$1,$C$113:$C$114,0)-1,0)</f>
        <v>39.799999999999997</v>
      </c>
      <c r="F39" s="86">
        <f ca="1">37.2*OFFSET(F$113,MATCH($N$1,$C$113:$C$114,0)-1,0)</f>
        <v>37.200000000000003</v>
      </c>
      <c r="G39" s="86">
        <f ca="1">38.3*OFFSET(G$113,MATCH($N$1,$C$113:$C$114,0)-1,0)</f>
        <v>38.299999999999997</v>
      </c>
      <c r="H39" s="86">
        <f ca="1">42.9*OFFSET(H$113,MATCH($N$1,$C$113:$C$114,0)-1,0)</f>
        <v>42.9</v>
      </c>
      <c r="I39" s="86">
        <f ca="1">52.3*OFFSET(I$113,MATCH($N$1,$C$113:$C$114,0)-1,0)</f>
        <v>52.3</v>
      </c>
      <c r="J39" s="86">
        <f ca="1">45.8*OFFSET(J$113,MATCH($N$1,$C$113:$C$114,0)-1,0)</f>
        <v>45.8</v>
      </c>
      <c r="K39" s="86">
        <f ca="1">50.9*OFFSET(K$113,MATCH($N$1,$C$113:$C$114,0)-1,0)</f>
        <v>50.9</v>
      </c>
      <c r="L39" s="86">
        <f ca="1">32.6*OFFSET(L$113,MATCH($N$1,$C$113:$C$114,0)-1,0)</f>
        <v>32.6</v>
      </c>
      <c r="M39" s="86">
        <f ca="1">97.4*OFFSET(M$113,MATCH($N$1,$C$113:$C$114,0)-1,0)</f>
        <v>97.4</v>
      </c>
      <c r="N39" s="86"/>
      <c r="O39" s="84" t="str">
        <f t="shared" si="0"/>
        <v/>
      </c>
      <c r="P39" s="84" t="str">
        <f t="shared" si="1"/>
        <v/>
      </c>
    </row>
    <row r="40" spans="1:16" s="78" customFormat="1" ht="18" customHeight="1">
      <c r="A40" s="192"/>
      <c r="B40" s="85" t="s">
        <v>221</v>
      </c>
      <c r="C40" s="86"/>
      <c r="D40" s="86">
        <f ca="1">12.3*OFFSET(D$113,MATCH($N$1,$C$113:$C$114,0)-1,0)</f>
        <v>12.3</v>
      </c>
      <c r="E40" s="86">
        <f ca="1">8*OFFSET(E$113,MATCH($N$1,$C$113:$C$114,0)-1,0)</f>
        <v>8</v>
      </c>
      <c r="F40" s="86">
        <f ca="1">6.6*OFFSET(F$113,MATCH($N$1,$C$113:$C$114,0)-1,0)</f>
        <v>6.6</v>
      </c>
      <c r="G40" s="86">
        <f ca="1">5*OFFSET(G$113,MATCH($N$1,$C$113:$C$114,0)-1,0)</f>
        <v>5</v>
      </c>
      <c r="H40" s="86">
        <f ca="1">5.3*OFFSET(H$113,MATCH($N$1,$C$113:$C$114,0)-1,0)</f>
        <v>5.3</v>
      </c>
      <c r="I40" s="86">
        <f ca="1">4.5*OFFSET(I$113,MATCH($N$1,$C$113:$C$114,0)-1,0)</f>
        <v>4.5</v>
      </c>
      <c r="J40" s="86">
        <f ca="1">3.9*OFFSET(J$113,MATCH($N$1,$C$113:$C$114,0)-1,0)</f>
        <v>3.9</v>
      </c>
      <c r="K40" s="86">
        <f ca="1">6.2*OFFSET(K$113,MATCH($N$1,$C$113:$C$114,0)-1,0)</f>
        <v>6.2</v>
      </c>
      <c r="L40" s="86">
        <f ca="1">5.8*OFFSET(L$113,MATCH($N$1,$C$113:$C$114,0)-1,0)</f>
        <v>5.8</v>
      </c>
      <c r="M40" s="86">
        <f ca="1">11.5*OFFSET(M$113,MATCH($N$1,$C$113:$C$114,0)-1,0)</f>
        <v>11.5</v>
      </c>
      <c r="N40" s="86"/>
      <c r="O40" s="84" t="str">
        <f t="shared" si="0"/>
        <v/>
      </c>
      <c r="P40" s="84" t="str">
        <f t="shared" si="1"/>
        <v/>
      </c>
    </row>
    <row r="41" spans="1:16" s="78" customFormat="1" ht="18" customHeight="1">
      <c r="A41" s="192"/>
      <c r="B41" s="85" t="s">
        <v>222</v>
      </c>
      <c r="C41" s="86"/>
      <c r="D41" s="86">
        <f ca="1">0.7*OFFSET(D$113,MATCH($N$1,$C$113:$C$114,0)-1,0)</f>
        <v>0.7</v>
      </c>
      <c r="E41" s="86">
        <f ca="1">5.6*OFFSET(E$113,MATCH($N$1,$C$113:$C$114,0)-1,0)</f>
        <v>5.6</v>
      </c>
      <c r="F41" s="86">
        <f ca="1">2.7*OFFSET(F$113,MATCH($N$1,$C$113:$C$114,0)-1,0)</f>
        <v>2.7</v>
      </c>
      <c r="G41" s="86">
        <f ca="1">2.8*OFFSET(G$113,MATCH($N$1,$C$113:$C$114,0)-1,0)</f>
        <v>2.8</v>
      </c>
      <c r="H41" s="86">
        <f ca="1">3.2*OFFSET(H$113,MATCH($N$1,$C$113:$C$114,0)-1,0)</f>
        <v>3.2</v>
      </c>
      <c r="I41" s="86">
        <f ca="1">2.6*OFFSET(I$113,MATCH($N$1,$C$113:$C$114,0)-1,0)</f>
        <v>2.6</v>
      </c>
      <c r="J41" s="86">
        <f ca="1">2.2*OFFSET(J$113,MATCH($N$1,$C$113:$C$114,0)-1,0)</f>
        <v>2.2000000000000002</v>
      </c>
      <c r="K41" s="86">
        <f ca="1">2.5*OFFSET(K$113,MATCH($N$1,$C$113:$C$114,0)-1,0)</f>
        <v>2.5</v>
      </c>
      <c r="L41" s="86">
        <f ca="1">1.6*OFFSET(L$113,MATCH($N$1,$C$113:$C$114,0)-1,0)</f>
        <v>1.6</v>
      </c>
      <c r="M41" s="86">
        <f ca="1">4.1*OFFSET(M$113,MATCH($N$1,$C$113:$C$114,0)-1,0)</f>
        <v>4.0999999999999996</v>
      </c>
      <c r="N41" s="86"/>
      <c r="O41" s="84" t="str">
        <f t="shared" si="0"/>
        <v/>
      </c>
      <c r="P41" s="84" t="str">
        <f t="shared" si="1"/>
        <v/>
      </c>
    </row>
    <row r="42" spans="1:16" s="78" customFormat="1" ht="18" customHeight="1" thickBot="1">
      <c r="A42" s="193"/>
      <c r="B42" s="89" t="s">
        <v>223</v>
      </c>
      <c r="C42" s="90"/>
      <c r="D42" s="90">
        <f ca="1">13.4*OFFSET(D$113,MATCH($N$1,$C$113:$C$114,0)-1,0)</f>
        <v>13.4</v>
      </c>
      <c r="E42" s="90">
        <f ca="1">-7.8*OFFSET(E$113,MATCH($N$1,$C$113:$C$114,0)-1,0)</f>
        <v>-7.8</v>
      </c>
      <c r="F42" s="90">
        <f ca="1">9.2*OFFSET(F$113,MATCH($N$1,$C$113:$C$114,0)-1,0)</f>
        <v>9.1999999999999993</v>
      </c>
      <c r="G42" s="90">
        <f ca="1">2.6*OFFSET(G$113,MATCH($N$1,$C$113:$C$114,0)-1,0)</f>
        <v>2.6</v>
      </c>
      <c r="H42" s="90">
        <f ca="1">19.1*OFFSET(H$113,MATCH($N$1,$C$113:$C$114,0)-1,0)</f>
        <v>19.100000000000001</v>
      </c>
      <c r="I42" s="90">
        <f ca="1">42.3*OFFSET(I$113,MATCH($N$1,$C$113:$C$114,0)-1,0)</f>
        <v>42.3</v>
      </c>
      <c r="J42" s="90">
        <f ca="1">-46.2*OFFSET(J$113,MATCH($N$1,$C$113:$C$114,0)-1,0)</f>
        <v>-46.2</v>
      </c>
      <c r="K42" s="90">
        <f ca="1">39.2*OFFSET(K$113,MATCH($N$1,$C$113:$C$114,0)-1,0)</f>
        <v>39.200000000000003</v>
      </c>
      <c r="L42" s="90">
        <f ca="1">-11.2*OFFSET(L$113,MATCH($N$1,$C$113:$C$114,0)-1,0)</f>
        <v>-11.2</v>
      </c>
      <c r="M42" s="90">
        <f ca="1">-48.4*OFFSET(M$113,MATCH($N$1,$C$113:$C$114,0)-1,0)</f>
        <v>-48.4</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North Sea nephrops over 300kW</v>
      </c>
      <c r="C49" s="101"/>
      <c r="D49" s="101"/>
      <c r="E49" s="101"/>
      <c r="F49" s="101"/>
      <c r="G49" s="101"/>
      <c r="K49" s="101" t="str">
        <f>$B25&amp;CHAR(10)&amp;$A$1</f>
        <v>Operating profit per kW day at sea (£)
North Sea nephrops over 300kW</v>
      </c>
    </row>
    <row r="50" spans="1:11" s="78" customFormat="1">
      <c r="A50" s="101" t="str">
        <f>$B23&amp;CHAR(10)&amp;$A$1</f>
        <v>Fishing income per kW day at sea (£)
North Sea nephrops over 300kW</v>
      </c>
    </row>
    <row r="51" spans="1:11" s="78" customFormat="1">
      <c r="A51" s="101" t="str">
        <f>$B21&amp;CHAR(10)&amp;$A$1</f>
        <v>Average price per tonne landed (£)
North Sea nephrops over 300kW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North Sea nephrops over 300kW</v>
      </c>
      <c r="F63" s="101" t="str">
        <f>$B21&amp;CHAR(10)&amp;$A$1</f>
        <v>Average price per tonne landed (£)
North Sea nephrops over 300kW</v>
      </c>
      <c r="K63" s="101" t="str">
        <f>"Average annual operating profit per vessel (£'000)"&amp;CHAR(10)&amp;$A$1</f>
        <v>Average annual operating profit per vessel (£'000)
North Sea nephrops over 300kW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North Sea nephrops over 300kW</v>
      </c>
      <c r="F77" s="101" t="str">
        <f>"Top 5 landed species by value in "&amp;A78&amp;CHAR(10)&amp;A1</f>
        <v>Top 5 landed species by value in 2021
North Sea nephrops over 300kW</v>
      </c>
    </row>
    <row r="78" spans="1:11" s="101" customFormat="1">
      <c r="A78" s="101">
        <v>2021</v>
      </c>
      <c r="B78" s="101" t="s">
        <v>422</v>
      </c>
      <c r="C78" s="102">
        <v>0.5407296369554111</v>
      </c>
      <c r="D78" s="103">
        <v>12153634</v>
      </c>
      <c r="G78" s="101" t="s">
        <v>423</v>
      </c>
      <c r="H78" s="102">
        <v>0.65497382902380108</v>
      </c>
      <c r="I78" s="103">
        <v>12153634</v>
      </c>
      <c r="K78" s="101" t="s">
        <v>237</v>
      </c>
    </row>
    <row r="79" spans="1:11" s="101" customFormat="1">
      <c r="B79" s="101" t="s">
        <v>424</v>
      </c>
      <c r="C79" s="102">
        <v>0.13569345162190405</v>
      </c>
      <c r="D79" s="103">
        <v>553960</v>
      </c>
      <c r="G79" s="101" t="s">
        <v>425</v>
      </c>
      <c r="H79" s="102">
        <v>0.15573753741884006</v>
      </c>
      <c r="I79" s="103">
        <v>553960</v>
      </c>
    </row>
    <row r="80" spans="1:11" s="101" customFormat="1">
      <c r="B80" s="101" t="s">
        <v>426</v>
      </c>
      <c r="C80" s="102">
        <v>9.2073425206450676E-2</v>
      </c>
      <c r="D80" s="103">
        <v>3050596</v>
      </c>
      <c r="G80" s="101" t="s">
        <v>427</v>
      </c>
      <c r="H80" s="102">
        <v>4.065788301788173E-2</v>
      </c>
      <c r="I80" s="103">
        <v>3050596</v>
      </c>
    </row>
    <row r="81" spans="1:19" s="101" customFormat="1">
      <c r="B81" s="101" t="s">
        <v>428</v>
      </c>
      <c r="C81" s="102">
        <v>9.1118998059615458E-2</v>
      </c>
      <c r="D81" s="103">
        <v>1692097</v>
      </c>
      <c r="G81" s="101" t="s">
        <v>429</v>
      </c>
      <c r="H81" s="102">
        <v>3.3812383333615047E-2</v>
      </c>
      <c r="I81" s="103">
        <v>1692097</v>
      </c>
    </row>
    <row r="82" spans="1:19" s="101" customFormat="1">
      <c r="B82" s="101" t="s">
        <v>430</v>
      </c>
      <c r="C82" s="102">
        <v>2.4407120754559343E-2</v>
      </c>
      <c r="D82" s="103">
        <v>11115023</v>
      </c>
      <c r="G82" s="101" t="s">
        <v>431</v>
      </c>
      <c r="H82" s="102">
        <v>2.187052918810381E-2</v>
      </c>
      <c r="I82" s="103">
        <v>3689192</v>
      </c>
    </row>
    <row r="83" spans="1:19" s="101" customFormat="1">
      <c r="B83" s="101" t="s">
        <v>432</v>
      </c>
      <c r="C83" s="102">
        <v>0.11597736740205944</v>
      </c>
      <c r="D83" s="103">
        <v>5920853</v>
      </c>
      <c r="G83" s="101" t="s">
        <v>433</v>
      </c>
      <c r="H83" s="102">
        <v>9.29478380177583E-2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0.66110998795345299</v>
      </c>
      <c r="E93" s="107">
        <v>0.699040083080818</v>
      </c>
      <c r="F93" s="107">
        <v>0.65963545836531601</v>
      </c>
      <c r="G93" s="107">
        <v>0.64562898531129254</v>
      </c>
      <c r="H93" s="107">
        <v>0.6139557961781521</v>
      </c>
      <c r="I93" s="107">
        <v>0.56456621445342858</v>
      </c>
      <c r="J93" s="107">
        <v>0.69917929250746758</v>
      </c>
      <c r="K93" s="107">
        <v>0.61208426445117359</v>
      </c>
      <c r="L93" s="107">
        <v>0.65497382902380108</v>
      </c>
      <c r="M93" s="107">
        <v>0.70345887130896934</v>
      </c>
      <c r="O93" s="101">
        <v>12153634</v>
      </c>
    </row>
    <row r="94" spans="1:19" s="101" customFormat="1" hidden="1">
      <c r="B94" s="101">
        <v>2</v>
      </c>
      <c r="C94" s="101" t="s">
        <v>161</v>
      </c>
      <c r="D94" s="107">
        <v>9.904566943708186E-2</v>
      </c>
      <c r="E94" s="107">
        <v>8.6099776886047627E-2</v>
      </c>
      <c r="F94" s="107">
        <v>0.12486852779745958</v>
      </c>
      <c r="G94" s="107">
        <v>0.14431371882789709</v>
      </c>
      <c r="H94" s="107">
        <v>0.14116998983649517</v>
      </c>
      <c r="I94" s="107">
        <v>0.15269842833176003</v>
      </c>
      <c r="J94" s="107">
        <v>9.6892934369682007E-2</v>
      </c>
      <c r="K94" s="107">
        <v>0.13740750602265531</v>
      </c>
      <c r="L94" s="107">
        <v>0.15573753741884006</v>
      </c>
      <c r="M94" s="107">
        <v>0.13607887240660779</v>
      </c>
      <c r="O94" s="101">
        <v>553960</v>
      </c>
    </row>
    <row r="95" spans="1:19" s="101" customFormat="1" hidden="1">
      <c r="B95" s="101">
        <v>3</v>
      </c>
      <c r="C95" s="101" t="s">
        <v>172</v>
      </c>
      <c r="D95" s="107">
        <v>4.8746238178689963E-2</v>
      </c>
      <c r="E95" s="107">
        <v>4.0361269765523788E-2</v>
      </c>
      <c r="F95" s="107">
        <v>3.5882168270989986E-2</v>
      </c>
      <c r="G95" s="107">
        <v>3.1215668706571671E-2</v>
      </c>
      <c r="H95" s="107">
        <v>3.2560514197381159E-2</v>
      </c>
      <c r="I95" s="107">
        <v>3.4607033837878616E-2</v>
      </c>
      <c r="J95" s="107">
        <v>3.3174138715943859E-2</v>
      </c>
      <c r="K95" s="107">
        <v>4.1876487214942297E-2</v>
      </c>
      <c r="L95" s="107">
        <v>4.065788301788173E-2</v>
      </c>
      <c r="M95" s="107">
        <v>3.422436350245818E-2</v>
      </c>
      <c r="O95" s="101">
        <v>3050596</v>
      </c>
    </row>
    <row r="96" spans="1:19" s="101" customFormat="1" hidden="1">
      <c r="B96" s="101">
        <v>4</v>
      </c>
      <c r="C96" s="101" t="s">
        <v>156</v>
      </c>
      <c r="D96" s="107">
        <v>7.4661822072936104E-2</v>
      </c>
      <c r="E96" s="107">
        <v>7.7717117100067803E-2</v>
      </c>
      <c r="F96" s="107">
        <v>6.116708873072333E-2</v>
      </c>
      <c r="G96" s="107">
        <v>4.4967208508893693E-2</v>
      </c>
      <c r="H96" s="107">
        <v>4.1766812633001929E-2</v>
      </c>
      <c r="I96" s="107">
        <v>5.171909712192526E-2</v>
      </c>
      <c r="J96" s="107">
        <v>4.4105779920083729E-2</v>
      </c>
      <c r="K96" s="107">
        <v>4.8427449888555921E-2</v>
      </c>
      <c r="L96" s="107">
        <v>3.3812383333615047E-2</v>
      </c>
      <c r="M96" s="107">
        <v>2.978287338740088E-2</v>
      </c>
      <c r="O96" s="101">
        <v>1692097</v>
      </c>
    </row>
    <row r="97" spans="1:15" s="101" customFormat="1" hidden="1">
      <c r="B97" s="101">
        <v>5</v>
      </c>
      <c r="C97" s="101" t="s">
        <v>168</v>
      </c>
      <c r="D97" s="107">
        <v>2.7754665630213147E-2</v>
      </c>
      <c r="E97" s="107">
        <v>2.2945797073296113E-2</v>
      </c>
      <c r="F97" s="107"/>
      <c r="G97" s="107">
        <v>3.1233599686603802E-2</v>
      </c>
      <c r="H97" s="107">
        <v>4.7345984059888713E-2</v>
      </c>
      <c r="I97" s="107">
        <v>4.0162829799899338E-2</v>
      </c>
      <c r="J97" s="107">
        <v>3.5161169063842888E-2</v>
      </c>
      <c r="K97" s="107">
        <v>3.071687513980631E-2</v>
      </c>
      <c r="L97" s="107">
        <v>2.187052918810381E-2</v>
      </c>
      <c r="M97" s="107">
        <v>2.5584919597981055E-2</v>
      </c>
      <c r="O97" s="101">
        <v>3689192</v>
      </c>
    </row>
    <row r="98" spans="1:15" s="101" customFormat="1" hidden="1">
      <c r="B98" s="101">
        <v>6</v>
      </c>
      <c r="C98" s="101" t="s">
        <v>181</v>
      </c>
      <c r="D98" s="107"/>
      <c r="E98" s="107"/>
      <c r="F98" s="107">
        <v>2.8653189592609936E-2</v>
      </c>
      <c r="G98" s="107"/>
      <c r="H98" s="107"/>
      <c r="I98" s="107"/>
      <c r="J98" s="107"/>
      <c r="K98" s="107"/>
      <c r="L98" s="107"/>
      <c r="M98" s="107"/>
      <c r="O98" s="101">
        <v>11115023</v>
      </c>
    </row>
    <row r="99" spans="1:15" s="101" customFormat="1" hidden="1">
      <c r="B99" s="101">
        <v>7</v>
      </c>
      <c r="C99" s="101" t="s">
        <v>251</v>
      </c>
      <c r="D99" s="107">
        <v>8.8681616727625978E-2</v>
      </c>
      <c r="E99" s="107">
        <v>7.383595609424666E-2</v>
      </c>
      <c r="F99" s="107">
        <v>8.9793567242901107E-2</v>
      </c>
      <c r="G99" s="107">
        <v>0.10264081895874121</v>
      </c>
      <c r="H99" s="107">
        <v>0.12320090309508096</v>
      </c>
      <c r="I99" s="107">
        <v>0.15624639645510816</v>
      </c>
      <c r="J99" s="107">
        <v>9.1486685422979955E-2</v>
      </c>
      <c r="K99" s="107">
        <v>0.12948741728286661</v>
      </c>
      <c r="L99" s="107">
        <v>9.2947838017758216E-2</v>
      </c>
      <c r="M99" s="107">
        <v>7.0870099796582806E-2</v>
      </c>
      <c r="O99" s="101">
        <v>5920853</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8</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18</v>
      </c>
      <c r="D121" s="52">
        <v>34</v>
      </c>
      <c r="E121" s="52">
        <v>18</v>
      </c>
      <c r="F121" s="53">
        <v>70</v>
      </c>
    </row>
    <row r="122" spans="1:15" ht="18" customHeight="1">
      <c r="A122" s="186" t="s">
        <v>198</v>
      </c>
      <c r="B122" s="35" t="s">
        <v>199</v>
      </c>
      <c r="C122" s="54">
        <v>21.543333053588867</v>
      </c>
      <c r="D122" s="54">
        <v>20.971176147460938</v>
      </c>
      <c r="E122" s="54">
        <v>19.901111602783203</v>
      </c>
      <c r="F122" s="55">
        <v>20.843143463134766</v>
      </c>
    </row>
    <row r="123" spans="1:15" ht="18" customHeight="1">
      <c r="A123" s="187"/>
      <c r="B123" s="37" t="s">
        <v>190</v>
      </c>
      <c r="C123" s="56">
        <v>452.77777099609375</v>
      </c>
      <c r="D123" s="56">
        <v>452.08824157714844</v>
      </c>
      <c r="E123" s="56">
        <v>434.16665649414063</v>
      </c>
      <c r="F123" s="57">
        <v>447.65713500976563</v>
      </c>
    </row>
    <row r="124" spans="1:15" ht="18" customHeight="1">
      <c r="A124" s="187"/>
      <c r="B124" s="37" t="s">
        <v>191</v>
      </c>
      <c r="C124" s="56">
        <v>196.11111450195313</v>
      </c>
      <c r="D124" s="56">
        <v>171.73529052734375</v>
      </c>
      <c r="E124" s="56">
        <v>147.66667175292969</v>
      </c>
      <c r="F124" s="57">
        <v>171.81428527832031</v>
      </c>
    </row>
    <row r="125" spans="1:15" ht="18" customHeight="1">
      <c r="A125" s="187"/>
      <c r="B125" s="37" t="s">
        <v>192</v>
      </c>
      <c r="C125" s="56">
        <v>358.465576171875</v>
      </c>
      <c r="D125" s="56">
        <v>350.17231750488281</v>
      </c>
      <c r="E125" s="56">
        <v>329.26412963867188</v>
      </c>
      <c r="F125" s="57">
        <v>346.928466796875</v>
      </c>
    </row>
    <row r="126" spans="1:15" ht="18" customHeight="1">
      <c r="A126" s="187"/>
      <c r="B126" s="37" t="s">
        <v>193</v>
      </c>
      <c r="C126" s="33">
        <v>403.2138671875</v>
      </c>
      <c r="D126" s="33">
        <v>287.05067443847656</v>
      </c>
      <c r="E126" s="33">
        <v>140.32839965820313</v>
      </c>
      <c r="F126" s="58">
        <v>279.192626953125</v>
      </c>
    </row>
    <row r="127" spans="1:15" ht="18" customHeight="1">
      <c r="A127" s="187"/>
      <c r="B127" s="37" t="s">
        <v>200</v>
      </c>
      <c r="C127" s="33">
        <f ca="1">1060.01125*OFFSET($L$113,MATCH($N$1,$C$113:$C$114,0)-1,0)</f>
        <v>1060.01125</v>
      </c>
      <c r="D127" s="33">
        <f ca="1">687.2836875*OFFSET($L$113,MATCH($N$1,$C$113:$C$114,0)-1,0)</f>
        <v>687.28368750000004</v>
      </c>
      <c r="E127" s="33">
        <f ca="1">335.97528125*OFFSET($L$113,MATCH($N$1,$C$113:$C$114,0)-1,0)</f>
        <v>335.97528125000002</v>
      </c>
      <c r="F127" s="58">
        <f ca="1">692.7915*OFFSET($L$113,MATCH($N$1,$C$113:$C$114,0)-1,0)</f>
        <v>692.79150000000004</v>
      </c>
    </row>
    <row r="128" spans="1:15" ht="18" customHeight="1">
      <c r="A128" s="187"/>
      <c r="B128" s="37" t="s">
        <v>195</v>
      </c>
      <c r="C128" s="56">
        <v>236.44444274902344</v>
      </c>
      <c r="D128" s="56">
        <v>196.85294342041016</v>
      </c>
      <c r="E128" s="56">
        <v>143.44444274902344</v>
      </c>
      <c r="F128" s="57">
        <v>193.30000305175781</v>
      </c>
    </row>
    <row r="129" spans="1:15" ht="18" customHeight="1">
      <c r="A129" s="187"/>
      <c r="B129" s="37" t="s">
        <v>201</v>
      </c>
      <c r="C129" s="56">
        <v>11.55555534362793</v>
      </c>
      <c r="D129" s="56">
        <v>22.29411792755127</v>
      </c>
      <c r="E129" s="56">
        <v>28.888889312744141</v>
      </c>
      <c r="F129" s="57">
        <v>21.228570938110352</v>
      </c>
    </row>
    <row r="130" spans="1:15" ht="18" customHeight="1">
      <c r="A130" s="187"/>
      <c r="B130" s="37" t="s">
        <v>202</v>
      </c>
      <c r="C130" s="59">
        <v>1.7053217887878418</v>
      </c>
      <c r="D130" s="59">
        <v>1.4581985387205265</v>
      </c>
      <c r="E130" s="59">
        <v>0.97827702760696411</v>
      </c>
      <c r="F130" s="60">
        <v>1.4443488121032715</v>
      </c>
    </row>
    <row r="131" spans="1:15" ht="18" customHeight="1">
      <c r="A131" s="188"/>
      <c r="B131" s="39" t="s">
        <v>203</v>
      </c>
      <c r="C131" s="40">
        <f ca="1">2628.9057402559*OFFSET($L$113,MATCH($N$1,$C$113:$C$114,0)-1,0)</f>
        <v>2628.9057402559001</v>
      </c>
      <c r="D131" s="40">
        <f ca="1">2394.29393031196*OFFSET($L$113,MATCH($N$1,$C$113:$C$114,0)-1,0)</f>
        <v>2394.2939303119601</v>
      </c>
      <c r="E131" s="40">
        <f ca="1">2394.20731703869*OFFSET($L$113,MATCH($N$1,$C$113:$C$114,0)-1,0)</f>
        <v>2394.2073170386898</v>
      </c>
      <c r="F131" s="61">
        <f ca="1">2481*OFFSET($L$113,MATCH($N$1,$C$113:$C$114,0)-1,0)</f>
        <v>2481</v>
      </c>
    </row>
    <row r="132" spans="1:15" ht="18" customHeight="1">
      <c r="A132" s="198" t="s">
        <v>204</v>
      </c>
      <c r="B132" s="35" t="s">
        <v>205</v>
      </c>
      <c r="C132" s="62">
        <v>3.7240519289728717</v>
      </c>
      <c r="D132" s="62">
        <v>3.12791882400637</v>
      </c>
      <c r="E132" s="62">
        <v>2.213350605564985</v>
      </c>
      <c r="F132" s="63">
        <v>3.1469341203342047</v>
      </c>
    </row>
    <row r="133" spans="1:15" ht="18" customHeight="1">
      <c r="A133" s="199"/>
      <c r="B133" s="37" t="s">
        <v>206</v>
      </c>
      <c r="C133" s="59">
        <f ca="1">9.79018149308785*OFFSET($L$113,MATCH($N$1,$C$113:$C$114,0)-1,0)</f>
        <v>9.7901814930878501</v>
      </c>
      <c r="D133" s="59">
        <f ca="1">7.48915705482699*OFFSET($L$113,MATCH($N$1,$C$113:$C$114,0)-1,0)</f>
        <v>7.4891570548269897</v>
      </c>
      <c r="E133" s="59">
        <f ca="1">5.29922021501571*OFFSET($L$113,MATCH($N$1,$C$113:$C$114,0)-1,0)</f>
        <v>5.2992202150157102</v>
      </c>
      <c r="F133" s="60">
        <f ca="1">7.80883518816402*OFFSET($L$113,MATCH($N$1,$C$113:$C$114,0)-1,0)</f>
        <v>7.8088351881640197</v>
      </c>
    </row>
    <row r="134" spans="1:15" ht="18" customHeight="1">
      <c r="A134" s="199"/>
      <c r="B134" s="37" t="s">
        <v>153</v>
      </c>
      <c r="C134" s="59">
        <f ca="1">8.37132072966672*OFFSET($L$113,MATCH($N$1,$C$113:$C$114,0)-1,0)</f>
        <v>8.3713207296667207</v>
      </c>
      <c r="D134" s="59">
        <f ca="1">6.873176156826*OFFSET($L$113,MATCH($N$1,$C$113:$C$114,0)-1,0)</f>
        <v>6.8731761568260001</v>
      </c>
      <c r="E134" s="59">
        <f ca="1">5.45253746497055*OFFSET($L$113,MATCH($N$1,$C$113:$C$114,0)-1,0)</f>
        <v>5.4525374649705496</v>
      </c>
      <c r="F134" s="60">
        <f ca="1">7.08226291017551*OFFSET($L$113,MATCH($N$1,$C$113:$C$114,0)-1,0)</f>
        <v>7.0822629101755101</v>
      </c>
    </row>
    <row r="135" spans="1:15" ht="18" customHeight="1">
      <c r="A135" s="200"/>
      <c r="B135" s="39" t="s">
        <v>154</v>
      </c>
      <c r="C135" s="64">
        <f ca="1">1.41886076342113*OFFSET($L$113,MATCH($N$1,$C$113:$C$114,0)-1,0)</f>
        <v>1.4188607634211301</v>
      </c>
      <c r="D135" s="64">
        <f ca="1">0.615980898000992*OFFSET($L$113,MATCH($N$1,$C$113:$C$114,0)-1,0)</f>
        <v>0.61598089800099198</v>
      </c>
      <c r="E135" s="64">
        <f ca="1">-0.153317249954838*OFFSET($L$113,MATCH($N$1,$C$113:$C$114,0)-1,0)</f>
        <v>-0.153317249954838</v>
      </c>
      <c r="F135" s="65">
        <f ca="1">0.726572277988518*OFFSET($L$113,MATCH($N$1,$C$113:$C$114,0)-1,0)</f>
        <v>0.72657227798851798</v>
      </c>
    </row>
    <row r="136" spans="1:15" ht="18" customHeight="1">
      <c r="A136" s="201" t="s">
        <v>260</v>
      </c>
      <c r="B136" s="37" t="s">
        <v>261</v>
      </c>
      <c r="C136" s="66">
        <f ca="1">193.878046875*OFFSET($L$113,MATCH($N$1,$C$113:$C$114,0)-1,0)</f>
        <v>193.878046875</v>
      </c>
      <c r="D136" s="66">
        <f ca="1">168.782484375*OFFSET($L$113,MATCH($N$1,$C$113:$C$114,0)-1,0)</f>
        <v>168.782484375</v>
      </c>
      <c r="E136" s="66">
        <f ca="1">119.8628203125*OFFSET($L$113,MATCH($N$1,$C$113:$C$114,0)-1,0)</f>
        <v>119.86282031250001</v>
      </c>
      <c r="F136" s="67">
        <f ca="1">162.65628125*OFFSET($L$113,MATCH($N$1,$C$113:$C$114,0)-1,0)</f>
        <v>162.65628125000001</v>
      </c>
    </row>
    <row r="137" spans="1:15" ht="18" customHeight="1">
      <c r="A137" s="202"/>
      <c r="B137" s="37" t="s">
        <v>262</v>
      </c>
      <c r="C137" s="31">
        <v>407327.76552544348</v>
      </c>
      <c r="D137" s="31">
        <v>357099.9989947034</v>
      </c>
      <c r="E137" s="31">
        <v>253461.11226575449</v>
      </c>
      <c r="F137" s="68">
        <v>343365.71428571426</v>
      </c>
    </row>
    <row r="138" spans="1:15" ht="18" customHeight="1">
      <c r="A138" s="202"/>
      <c r="B138" s="37" t="s">
        <v>263</v>
      </c>
      <c r="C138" s="31">
        <v>1722.7208251953125</v>
      </c>
      <c r="D138" s="31">
        <v>1814.0444983444352</v>
      </c>
      <c r="E138" s="31">
        <v>1766.963623046875</v>
      </c>
      <c r="F138" s="68">
        <v>1776.3358154296875</v>
      </c>
    </row>
    <row r="139" spans="1:15" ht="18" customHeight="1">
      <c r="A139" s="202"/>
      <c r="B139" s="37" t="s">
        <v>264</v>
      </c>
      <c r="C139" s="31">
        <f ca="1">819.972948490035*OFFSET($L$113,MATCH($N$1,$C$113:$C$114,0)-1,0)</f>
        <v>819.97294849003504</v>
      </c>
      <c r="D139" s="31">
        <f ca="1">857.403915035899*OFFSET($L$113,MATCH($N$1,$C$113:$C$114,0)-1,0)</f>
        <v>857.40391503589899</v>
      </c>
      <c r="E139" s="31">
        <f ca="1">835.604489204347*OFFSET($L$113,MATCH($N$1,$C$113:$C$114,0)-1,0)</f>
        <v>835.60448920434703</v>
      </c>
      <c r="F139" s="68">
        <f ca="1">841.470660538207*OFFSET($L$113,MATCH($N$1,$C$113:$C$114,0)-1,0)</f>
        <v>841.47066053820697</v>
      </c>
      <c r="I139" s="43"/>
      <c r="L139" s="69" t="str">
        <f>C120</f>
        <v>Most
profitable
quartile</v>
      </c>
      <c r="M139" s="69" t="str">
        <f>D120</f>
        <v>Middle
two quartiles</v>
      </c>
      <c r="N139" s="69" t="str">
        <f>E120</f>
        <v>Least
profitable
quartile</v>
      </c>
      <c r="O139" s="69"/>
    </row>
    <row r="140" spans="1:15" ht="18" customHeight="1">
      <c r="A140" s="202"/>
      <c r="B140" s="37" t="s">
        <v>265</v>
      </c>
      <c r="C140" s="31">
        <f ca="1">480.831793378882*OFFSET($L$113,MATCH($N$1,$C$113:$C$114,0)-1,0)</f>
        <v>480.83179337888203</v>
      </c>
      <c r="D140" s="31">
        <f ca="1">587.988461288827*OFFSET($L$113,MATCH($N$1,$C$113:$C$114,0)-1,0)</f>
        <v>587.98846128882701</v>
      </c>
      <c r="E140" s="31">
        <f ca="1">854.159390433077*OFFSET($L$113,MATCH($N$1,$C$113:$C$114,0)-1,0)</f>
        <v>854.15939043307696</v>
      </c>
      <c r="F140" s="68">
        <f ca="1">582.595188938529*OFFSET($L$113,MATCH($N$1,$C$113:$C$114,0)-1,0)</f>
        <v>582.59518893852896</v>
      </c>
      <c r="I140" s="43"/>
      <c r="K140" s="69" t="s">
        <v>266</v>
      </c>
      <c r="L140" s="70">
        <f t="shared" ref="L140:M142" ca="1" si="2">C141</f>
        <v>1110.3430000000001</v>
      </c>
      <c r="M140" s="70">
        <f t="shared" ca="1" si="2"/>
        <v>719.91750000000002</v>
      </c>
      <c r="N140" s="70">
        <f ca="1">E141</f>
        <v>351.92815624999997</v>
      </c>
      <c r="O140" s="70"/>
    </row>
    <row r="141" spans="1:15" ht="18" customHeight="1">
      <c r="A141" s="179" t="s">
        <v>267</v>
      </c>
      <c r="B141" s="35" t="s">
        <v>268</v>
      </c>
      <c r="C141" s="71">
        <f ca="1">1110.343*OFFSET($L$113,MATCH($N$1,$C$113:$C$114,0)-1,0)</f>
        <v>1110.3430000000001</v>
      </c>
      <c r="D141" s="71">
        <f ca="1">719.9175*OFFSET($L$113,MATCH($N$1,$C$113:$C$114,0)-1,0)</f>
        <v>719.91750000000002</v>
      </c>
      <c r="E141" s="71">
        <f ca="1">351.92815625*OFFSET($L$113,MATCH($N$1,$C$113:$C$114,0)-1,0)</f>
        <v>351.92815624999997</v>
      </c>
      <c r="F141" s="72">
        <f ca="1">725.6868125*OFFSET($L$113,MATCH($N$1,$C$113:$C$114,0)-1,0)</f>
        <v>725.68681249999997</v>
      </c>
      <c r="I141" s="43"/>
      <c r="K141" s="69" t="s">
        <v>269</v>
      </c>
      <c r="L141" s="70">
        <f t="shared" ca="1" si="2"/>
        <v>956.71887500000003</v>
      </c>
      <c r="M141" s="70">
        <f t="shared" ca="1" si="2"/>
        <v>663.38862500000005</v>
      </c>
      <c r="N141" s="70">
        <f ca="1">E142</f>
        <v>361.64862499999998</v>
      </c>
      <c r="O141" s="70"/>
    </row>
    <row r="142" spans="1:15" ht="18" customHeight="1">
      <c r="A142" s="180"/>
      <c r="B142" s="37" t="s">
        <v>270</v>
      </c>
      <c r="C142" s="31">
        <f ca="1">956.718875*OFFSET($L$113,MATCH($N$1,$C$113:$C$114,0)-1,0)</f>
        <v>956.71887500000003</v>
      </c>
      <c r="D142" s="31">
        <f ca="1">663.388625*OFFSET($L$113,MATCH($N$1,$C$113:$C$114,0)-1,0)</f>
        <v>663.38862500000005</v>
      </c>
      <c r="E142" s="31">
        <f ca="1">361.648625*OFFSET($L$113,MATCH($N$1,$C$113:$C$114,0)-1,0)</f>
        <v>361.64862499999998</v>
      </c>
      <c r="F142" s="68">
        <f ca="1">661.226125*OFFSET($L$113,MATCH($N$1,$C$113:$C$114,0)-1,0)</f>
        <v>661.22612500000002</v>
      </c>
      <c r="I142" s="43"/>
      <c r="K142" s="69" t="s">
        <v>271</v>
      </c>
      <c r="L142" s="70">
        <f t="shared" ca="1" si="2"/>
        <v>153.62412499999999</v>
      </c>
      <c r="M142" s="70">
        <f t="shared" ca="1" si="2"/>
        <v>56.528874999999999</v>
      </c>
      <c r="N142" s="70">
        <f ca="1">E143</f>
        <v>-9.7204687500000002</v>
      </c>
      <c r="O142" s="70"/>
    </row>
    <row r="143" spans="1:15" ht="18" customHeight="1">
      <c r="A143" s="181"/>
      <c r="B143" s="39" t="s">
        <v>272</v>
      </c>
      <c r="C143" s="40">
        <f ca="1">153.624125*OFFSET($L$113,MATCH($N$1,$C$113:$C$114,0)-1,0)</f>
        <v>153.62412499999999</v>
      </c>
      <c r="D143" s="40">
        <f ca="1">56.528875*OFFSET($L$113,MATCH($N$1,$C$113:$C$114,0)-1,0)</f>
        <v>56.528874999999999</v>
      </c>
      <c r="E143" s="40">
        <f ca="1">-9.72046875*OFFSET($L$113,MATCH($N$1,$C$113:$C$114,0)-1,0)</f>
        <v>-9.7204687500000002</v>
      </c>
      <c r="F143" s="61">
        <f ca="1">64.46071484375*OFFSET($L$113,MATCH($N$1,$C$113:$C$114,0)-1,0)</f>
        <v>64.460714843749997</v>
      </c>
      <c r="I143" s="43"/>
      <c r="K143" s="69" t="s">
        <v>273</v>
      </c>
      <c r="L143" s="73">
        <f ca="1">IFERROR(L141/L$140,"")</f>
        <v>0.86164264105776323</v>
      </c>
      <c r="M143" s="73">
        <f t="shared" ref="M143:N144" ca="1" si="3">IFERROR(M141/M$140,"")</f>
        <v>0.92147867637611258</v>
      </c>
      <c r="N143" s="73">
        <f t="shared" ca="1" si="3"/>
        <v>1.027620605448502</v>
      </c>
      <c r="O143" s="73"/>
    </row>
    <row r="144" spans="1:15" ht="18" customHeight="1">
      <c r="I144" s="43"/>
      <c r="K144" s="69" t="s">
        <v>274</v>
      </c>
      <c r="L144" s="73">
        <f ca="1">IFERROR(L142/L$140,"")</f>
        <v>0.13835735894223675</v>
      </c>
      <c r="M144" s="73">
        <f t="shared" ca="1" si="3"/>
        <v>7.852132362388746E-2</v>
      </c>
      <c r="N144" s="73">
        <f t="shared" ca="1" si="3"/>
        <v>-2.7620605448501964E-2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159</v>
      </c>
      <c r="C163" s="48">
        <v>0.48491675500044534</v>
      </c>
      <c r="D163" s="48">
        <v>0.56258823673700542</v>
      </c>
      <c r="E163" s="48">
        <v>0.70450207865122927</v>
      </c>
      <c r="F163" s="44">
        <v>12153634</v>
      </c>
      <c r="G163" s="44">
        <v>1</v>
      </c>
      <c r="H163" s="48" t="s">
        <v>159</v>
      </c>
      <c r="I163" s="48">
        <v>0.61463501603707149</v>
      </c>
      <c r="J163" s="48">
        <v>0.67449458391010264</v>
      </c>
      <c r="K163" s="48">
        <v>0.79461560042772417</v>
      </c>
      <c r="L163" s="44">
        <v>12153634</v>
      </c>
      <c r="R163" s="21"/>
      <c r="S163" s="21"/>
    </row>
    <row r="164" spans="1:19" s="43" customFormat="1">
      <c r="A164" s="44">
        <v>2</v>
      </c>
      <c r="B164" s="48" t="s">
        <v>161</v>
      </c>
      <c r="C164" s="48">
        <v>0.14328613497401385</v>
      </c>
      <c r="D164" s="48">
        <v>0.14837890301753648</v>
      </c>
      <c r="E164" s="48">
        <v>8.8034844809635138E-2</v>
      </c>
      <c r="F164" s="44">
        <v>553960</v>
      </c>
      <c r="G164" s="44">
        <v>2</v>
      </c>
      <c r="H164" s="48" t="s">
        <v>161</v>
      </c>
      <c r="I164" s="48">
        <v>0.16043344871447315</v>
      </c>
      <c r="J164" s="48">
        <v>0.17373185748676748</v>
      </c>
      <c r="K164" s="48">
        <v>9.4006909376749409E-2</v>
      </c>
      <c r="L164" s="44">
        <v>553960</v>
      </c>
      <c r="N164" s="43" t="s">
        <v>278</v>
      </c>
      <c r="R164" s="21"/>
      <c r="S164" s="21"/>
    </row>
    <row r="165" spans="1:19" s="43" customFormat="1">
      <c r="A165" s="44">
        <v>3</v>
      </c>
      <c r="B165" s="48" t="s">
        <v>172</v>
      </c>
      <c r="C165" s="48">
        <v>9.9766519291209221E-2</v>
      </c>
      <c r="D165" s="48">
        <v>9.7998896268207056E-2</v>
      </c>
      <c r="E165" s="48">
        <v>6.2377925392794138E-2</v>
      </c>
      <c r="F165" s="44">
        <v>3050596</v>
      </c>
      <c r="G165" s="44">
        <v>3</v>
      </c>
      <c r="H165" s="48" t="s">
        <v>172</v>
      </c>
      <c r="I165" s="48">
        <v>4.4702813518220752E-2</v>
      </c>
      <c r="J165" s="48">
        <v>4.2667345813822803E-2</v>
      </c>
      <c r="K165" s="48">
        <v>2.5685523568923081E-2</v>
      </c>
      <c r="L165" s="44">
        <v>3050596</v>
      </c>
      <c r="N165" s="43" t="s">
        <v>279</v>
      </c>
      <c r="R165" s="21"/>
      <c r="S165" s="21"/>
    </row>
    <row r="166" spans="1:19" s="43" customFormat="1">
      <c r="A166" s="44">
        <v>4</v>
      </c>
      <c r="B166" s="48" t="s">
        <v>156</v>
      </c>
      <c r="C166" s="48">
        <v>0.10956411787722291</v>
      </c>
      <c r="D166" s="48">
        <v>9.1391490171298953E-2</v>
      </c>
      <c r="E166" s="48">
        <v>5.1339416025235327E-2</v>
      </c>
      <c r="F166" s="44">
        <v>1692097</v>
      </c>
      <c r="G166" s="44">
        <v>4</v>
      </c>
      <c r="H166" s="48" t="s">
        <v>156</v>
      </c>
      <c r="I166" s="48">
        <v>4.3365160818499261E-2</v>
      </c>
      <c r="J166" s="48">
        <v>3.1841215713308106E-2</v>
      </c>
      <c r="K166" s="48">
        <v>1.5434448719542748E-2</v>
      </c>
      <c r="L166" s="44">
        <v>1692097</v>
      </c>
      <c r="R166" s="21"/>
      <c r="S166" s="21"/>
    </row>
    <row r="167" spans="1:19" s="43" customFormat="1">
      <c r="A167" s="44">
        <v>5</v>
      </c>
      <c r="B167" s="48" t="s">
        <v>322</v>
      </c>
      <c r="C167" s="48">
        <v>0</v>
      </c>
      <c r="D167" s="48">
        <v>2.8040417582839185E-2</v>
      </c>
      <c r="E167" s="48">
        <v>0</v>
      </c>
      <c r="F167" s="44">
        <v>11115023</v>
      </c>
      <c r="G167" s="44">
        <v>5</v>
      </c>
      <c r="H167" s="48" t="s">
        <v>168</v>
      </c>
      <c r="I167" s="48">
        <v>0</v>
      </c>
      <c r="J167" s="48">
        <v>2.3827978732874639E-2</v>
      </c>
      <c r="K167" s="48">
        <v>0</v>
      </c>
      <c r="L167" s="44">
        <v>3689192</v>
      </c>
      <c r="R167" s="21"/>
      <c r="S167" s="21"/>
    </row>
    <row r="168" spans="1:19" s="43" customFormat="1">
      <c r="A168" s="44">
        <v>6</v>
      </c>
      <c r="B168" s="48" t="s">
        <v>169</v>
      </c>
      <c r="C168" s="48">
        <v>0</v>
      </c>
      <c r="D168" s="48">
        <v>0</v>
      </c>
      <c r="E168" s="48">
        <v>1.6192216811074901E-2</v>
      </c>
      <c r="F168" s="44">
        <v>2480382</v>
      </c>
      <c r="G168" s="44">
        <v>6</v>
      </c>
      <c r="H168" s="48" t="s">
        <v>434</v>
      </c>
      <c r="I168" s="48">
        <v>0</v>
      </c>
      <c r="J168" s="48">
        <v>0</v>
      </c>
      <c r="K168" s="48">
        <v>1.5529494246689651E-2</v>
      </c>
      <c r="L168" s="44">
        <v>7434864</v>
      </c>
      <c r="R168" s="21"/>
      <c r="S168" s="21"/>
    </row>
    <row r="169" spans="1:19" s="43" customFormat="1">
      <c r="A169" s="44">
        <v>7</v>
      </c>
      <c r="B169" s="48" t="s">
        <v>435</v>
      </c>
      <c r="C169" s="48">
        <v>3.3982296477762894E-2</v>
      </c>
      <c r="D169" s="48">
        <v>0</v>
      </c>
      <c r="E169" s="48">
        <v>0</v>
      </c>
      <c r="F169" s="44">
        <v>8497745</v>
      </c>
      <c r="G169" s="44">
        <v>7</v>
      </c>
      <c r="H169" s="48" t="s">
        <v>181</v>
      </c>
      <c r="I169" s="48">
        <v>3.8922366848574731E-2</v>
      </c>
      <c r="J169" s="48">
        <v>0</v>
      </c>
      <c r="K169" s="48">
        <v>0</v>
      </c>
      <c r="L169" s="44">
        <v>14393110</v>
      </c>
      <c r="R169" s="21"/>
      <c r="S169" s="21"/>
    </row>
    <row r="170" spans="1:19" s="43" customFormat="1">
      <c r="A170" s="44">
        <v>8</v>
      </c>
      <c r="B170" s="48" t="s">
        <v>251</v>
      </c>
      <c r="C170" s="48">
        <v>0.12848417637934595</v>
      </c>
      <c r="D170" s="48">
        <v>7.1602056223112998E-2</v>
      </c>
      <c r="E170" s="48">
        <v>7.7553518310031322E-2</v>
      </c>
      <c r="F170" s="44">
        <v>5920853</v>
      </c>
      <c r="G170" s="44">
        <v>8</v>
      </c>
      <c r="H170" s="48" t="s">
        <v>251</v>
      </c>
      <c r="I170" s="48">
        <v>9.7941194063160486E-2</v>
      </c>
      <c r="J170" s="48">
        <v>5.343701834312431E-2</v>
      </c>
      <c r="K170" s="48">
        <v>5.4728023660370884E-2</v>
      </c>
      <c r="L170" s="44">
        <v>5920853</v>
      </c>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915DEA68-DEC8-4028-B292-0DDB9ACE01E0}">
      <formula1>$C$113:$C$114</formula1>
    </dataValidation>
  </dataValidations>
  <hyperlinks>
    <hyperlink ref="O1:P1" location="Home_page" display="Back to home page" xr:uid="{129A40D3-C539-48A5-A3E6-5F0AB041C91D}"/>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3ACE464F-E1D6-4132-93ED-651C510311DD}">
          <x14:colorSeries rgb="FF323232"/>
          <x14:colorNegative rgb="FFD00000"/>
          <x14:colorAxis rgb="FF000000"/>
          <x14:colorMarkers rgb="FFD00000"/>
          <x14:colorFirst rgb="FFD00000"/>
          <x14:colorLast rgb="FFD00000"/>
          <x14:colorHigh rgb="FFD00000"/>
          <x14:colorLow rgb="FFD00000"/>
          <x14:sparklines>
            <x14:sparkline>
              <xm:f>'NS nephrops over 300kW'!D3:N3</xm:f>
              <xm:sqref>C3</xm:sqref>
            </x14:sparkline>
            <x14:sparkline>
              <xm:f>'NS nephrops over 300kW'!D4:N4</xm:f>
              <xm:sqref>C4</xm:sqref>
            </x14:sparkline>
            <x14:sparkline>
              <xm:f>'NS nephrops over 300kW'!D5:N5</xm:f>
              <xm:sqref>C5</xm:sqref>
            </x14:sparkline>
            <x14:sparkline>
              <xm:f>'NS nephrops over 300kW'!D6:N6</xm:f>
              <xm:sqref>C6</xm:sqref>
            </x14:sparkline>
            <x14:sparkline>
              <xm:f>'NS nephrops over 300kW'!D7:N7</xm:f>
              <xm:sqref>C7</xm:sqref>
            </x14:sparkline>
            <x14:sparkline>
              <xm:f>'NS nephrops over 300kW'!D8:N8</xm:f>
              <xm:sqref>C8</xm:sqref>
            </x14:sparkline>
            <x14:sparkline>
              <xm:f>'NS nephrops over 300kW'!D9:N9</xm:f>
              <xm:sqref>C9</xm:sqref>
            </x14:sparkline>
            <x14:sparkline>
              <xm:f>'NS nephrops over 300kW'!D10:N10</xm:f>
              <xm:sqref>C10</xm:sqref>
            </x14:sparkline>
            <x14:sparkline>
              <xm:f>'NS nephrops over 300kW'!D11:N11</xm:f>
              <xm:sqref>C11</xm:sqref>
            </x14:sparkline>
            <x14:sparkline>
              <xm:f>'NS nephrops over 300kW'!D12:N12</xm:f>
              <xm:sqref>C12</xm:sqref>
            </x14:sparkline>
            <x14:sparkline>
              <xm:f>'NS nephrops over 300kW'!D13:N13</xm:f>
              <xm:sqref>C13</xm:sqref>
            </x14:sparkline>
            <x14:sparkline>
              <xm:f>'NS nephrops over 300kW'!D14:N14</xm:f>
              <xm:sqref>C14</xm:sqref>
            </x14:sparkline>
            <x14:sparkline>
              <xm:f>'NS nephrops over 300kW'!D15:N15</xm:f>
              <xm:sqref>C15</xm:sqref>
            </x14:sparkline>
            <x14:sparkline>
              <xm:f>'NS nephrops over 300kW'!D16:N16</xm:f>
              <xm:sqref>C16</xm:sqref>
            </x14:sparkline>
            <x14:sparkline>
              <xm:f>'NS nephrops over 300kW'!D17:N17</xm:f>
              <xm:sqref>C17</xm:sqref>
            </x14:sparkline>
            <x14:sparkline>
              <xm:f>'NS nephrops over 300kW'!D18:N18</xm:f>
              <xm:sqref>C18</xm:sqref>
            </x14:sparkline>
            <x14:sparkline>
              <xm:f>'NS nephrops over 300kW'!D19:N19</xm:f>
              <xm:sqref>C19</xm:sqref>
            </x14:sparkline>
            <x14:sparkline>
              <xm:f>'NS nephrops over 300kW'!D20:N20</xm:f>
              <xm:sqref>C20</xm:sqref>
            </x14:sparkline>
            <x14:sparkline>
              <xm:f>'NS nephrops over 300kW'!D21:N21</xm:f>
              <xm:sqref>C21</xm:sqref>
            </x14:sparkline>
            <x14:sparkline>
              <xm:f>'NS nephrops over 300kW'!D22:N22</xm:f>
              <xm:sqref>C22</xm:sqref>
            </x14:sparkline>
            <x14:sparkline>
              <xm:f>'NS nephrops over 300kW'!D23:N23</xm:f>
              <xm:sqref>C23</xm:sqref>
            </x14:sparkline>
            <x14:sparkline>
              <xm:f>'NS nephrops over 300kW'!D24:N24</xm:f>
              <xm:sqref>C24</xm:sqref>
            </x14:sparkline>
            <x14:sparkline>
              <xm:f>'NS nephrops over 300kW'!D25:N25</xm:f>
              <xm:sqref>C25</xm:sqref>
            </x14:sparkline>
            <x14:sparkline>
              <xm:f>'NS nephrops over 300kW'!D26:N26</xm:f>
              <xm:sqref>C26</xm:sqref>
            </x14:sparkline>
            <x14:sparkline>
              <xm:f>'NS nephrops over 300kW'!D27:N27</xm:f>
              <xm:sqref>C27</xm:sqref>
            </x14:sparkline>
            <x14:sparkline>
              <xm:f>'NS nephrops over 300kW'!D28:N28</xm:f>
              <xm:sqref>C28</xm:sqref>
            </x14:sparkline>
            <x14:sparkline>
              <xm:f>'NS nephrops over 300kW'!D29:N29</xm:f>
              <xm:sqref>C29</xm:sqref>
            </x14:sparkline>
            <x14:sparkline>
              <xm:f>'NS nephrops over 300kW'!D30:N30</xm:f>
              <xm:sqref>C30</xm:sqref>
            </x14:sparkline>
            <x14:sparkline>
              <xm:f>'NS nephrops over 300kW'!D31:N31</xm:f>
              <xm:sqref>C31</xm:sqref>
            </x14:sparkline>
            <x14:sparkline>
              <xm:f>'NS nephrops over 300kW'!D32:N32</xm:f>
              <xm:sqref>C32</xm:sqref>
            </x14:sparkline>
            <x14:sparkline>
              <xm:f>'NS nephrops over 300kW'!D33:N33</xm:f>
              <xm:sqref>C33</xm:sqref>
            </x14:sparkline>
            <x14:sparkline>
              <xm:f>'NS nephrops over 300kW'!D34:N34</xm:f>
              <xm:sqref>C34</xm:sqref>
            </x14:sparkline>
            <x14:sparkline>
              <xm:f>'NS nephrops over 300kW'!D35:N35</xm:f>
              <xm:sqref>C35</xm:sqref>
            </x14:sparkline>
            <x14:sparkline>
              <xm:f>'NS nephrops over 300kW'!D36:N36</xm:f>
              <xm:sqref>C36</xm:sqref>
            </x14:sparkline>
            <x14:sparkline>
              <xm:f>'NS nephrops over 300kW'!D37:N37</xm:f>
              <xm:sqref>C37</xm:sqref>
            </x14:sparkline>
            <x14:sparkline>
              <xm:f>'NS nephrops over 300kW'!D38:N38</xm:f>
              <xm:sqref>C38</xm:sqref>
            </x14:sparkline>
            <x14:sparkline>
              <xm:f>'NS nephrops over 300kW'!D39:N39</xm:f>
              <xm:sqref>C39</xm:sqref>
            </x14:sparkline>
            <x14:sparkline>
              <xm:f>'NS nephrops over 300kW'!D40:N40</xm:f>
              <xm:sqref>C40</xm:sqref>
            </x14:sparkline>
            <x14:sparkline>
              <xm:f>'NS nephrops over 300kW'!D41:N41</xm:f>
              <xm:sqref>C41</xm:sqref>
            </x14:sparkline>
            <x14:sparkline>
              <xm:f>'NS nephrops over 300kW'!D42:N42</xm:f>
              <xm:sqref>C42</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DB77C-B436-4605-9DEE-82CC79846E2E}">
  <sheetPr codeName="Feuil20">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22</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66</v>
      </c>
      <c r="E3" s="28">
        <v>57</v>
      </c>
      <c r="F3" s="28">
        <v>70</v>
      </c>
      <c r="G3" s="28">
        <v>58</v>
      </c>
      <c r="H3" s="28">
        <v>63</v>
      </c>
      <c r="I3" s="28">
        <v>70</v>
      </c>
      <c r="J3" s="28">
        <v>63</v>
      </c>
      <c r="K3" s="28">
        <v>66</v>
      </c>
      <c r="L3" s="28">
        <v>68</v>
      </c>
      <c r="M3" s="28">
        <v>62</v>
      </c>
      <c r="N3" s="28">
        <v>57</v>
      </c>
      <c r="O3" s="29">
        <f t="shared" ref="O3:O42" si="0">IF(N3=0,"",IFERROR(IF(AND(N3&gt;0,D3&lt;0),"na",IF(AND(N3&lt;0,D3&lt;0),-1,1)*(N3-D3)/D3),""))</f>
        <v>-0.13636363636363635</v>
      </c>
      <c r="P3" s="29">
        <f t="shared" ref="P3:P42" si="1">IF(N3=0,"",IFERROR(IF(AND(N3&gt;0,J3&lt;0),"na",IF(AND(N3&lt;0,J3&lt;0),-1,1)*(N3-J3)/J3),""))</f>
        <v>-9.5238095238095233E-2</v>
      </c>
    </row>
    <row r="4" spans="1:17" ht="18" customHeight="1">
      <c r="A4" s="185"/>
      <c r="B4" s="30" t="s">
        <v>190</v>
      </c>
      <c r="C4" s="31"/>
      <c r="D4" s="31">
        <v>11670</v>
      </c>
      <c r="E4" s="31">
        <v>9771</v>
      </c>
      <c r="F4" s="31">
        <v>12303</v>
      </c>
      <c r="G4" s="31">
        <v>10115</v>
      </c>
      <c r="H4" s="31">
        <v>11145</v>
      </c>
      <c r="I4" s="31">
        <v>12106</v>
      </c>
      <c r="J4" s="31">
        <v>10803</v>
      </c>
      <c r="K4" s="31">
        <v>11702</v>
      </c>
      <c r="L4" s="31">
        <v>11761</v>
      </c>
      <c r="M4" s="31">
        <v>11099</v>
      </c>
      <c r="N4" s="31">
        <v>10179</v>
      </c>
      <c r="O4" s="29">
        <f t="shared" si="0"/>
        <v>-0.12776349614395888</v>
      </c>
      <c r="P4" s="29">
        <f t="shared" si="1"/>
        <v>-5.7761732851985562E-2</v>
      </c>
    </row>
    <row r="5" spans="1:17" ht="18" customHeight="1">
      <c r="A5" s="185"/>
      <c r="B5" s="30" t="s">
        <v>191</v>
      </c>
      <c r="C5" s="31"/>
      <c r="D5" s="31">
        <v>2799</v>
      </c>
      <c r="E5" s="31">
        <v>2245</v>
      </c>
      <c r="F5" s="31">
        <v>2959</v>
      </c>
      <c r="G5" s="31">
        <v>2304</v>
      </c>
      <c r="H5" s="31">
        <v>2574</v>
      </c>
      <c r="I5" s="31">
        <v>2703</v>
      </c>
      <c r="J5" s="31">
        <v>2321</v>
      </c>
      <c r="K5" s="31">
        <v>2523</v>
      </c>
      <c r="L5" s="31">
        <v>2496</v>
      </c>
      <c r="M5" s="31">
        <v>2279</v>
      </c>
      <c r="N5" s="31">
        <v>1953</v>
      </c>
      <c r="O5" s="29">
        <f t="shared" si="0"/>
        <v>-0.30225080385852088</v>
      </c>
      <c r="P5" s="29">
        <f t="shared" si="1"/>
        <v>-0.15855234812580785</v>
      </c>
      <c r="Q5" s="32"/>
    </row>
    <row r="6" spans="1:17" ht="18" customHeight="1">
      <c r="A6" s="185"/>
      <c r="B6" s="30" t="s">
        <v>192</v>
      </c>
      <c r="C6" s="31"/>
      <c r="D6" s="31">
        <v>10194.84375</v>
      </c>
      <c r="E6" s="31">
        <v>8490.8203125</v>
      </c>
      <c r="F6" s="31">
        <v>10780.9052734375</v>
      </c>
      <c r="G6" s="31">
        <v>8729.9375</v>
      </c>
      <c r="H6" s="31">
        <v>9676.716796875</v>
      </c>
      <c r="I6" s="31">
        <v>10413.5107421875</v>
      </c>
      <c r="J6" s="31">
        <v>9373.2421875</v>
      </c>
      <c r="K6" s="31">
        <v>9992.3623046875</v>
      </c>
      <c r="L6" s="31">
        <v>10108.40234375</v>
      </c>
      <c r="M6" s="31">
        <v>9355.9091796875</v>
      </c>
      <c r="N6" s="31">
        <v>8500.0439453125</v>
      </c>
      <c r="O6" s="29">
        <f t="shared" si="0"/>
        <v>-0.1662408808067804</v>
      </c>
      <c r="P6" s="29">
        <f t="shared" si="1"/>
        <v>-9.3158613073284574E-2</v>
      </c>
    </row>
    <row r="7" spans="1:17" ht="18" customHeight="1">
      <c r="A7" s="185"/>
      <c r="B7" s="30" t="s">
        <v>193</v>
      </c>
      <c r="C7" s="31"/>
      <c r="D7" s="31">
        <v>4770.91552734375</v>
      </c>
      <c r="E7" s="31">
        <v>3612.77392578125</v>
      </c>
      <c r="F7" s="31">
        <v>4722.68896484375</v>
      </c>
      <c r="G7" s="31">
        <v>2757.90283203125</v>
      </c>
      <c r="H7" s="31">
        <v>4665.78125</v>
      </c>
      <c r="I7" s="31">
        <v>4725.609375</v>
      </c>
      <c r="J7" s="31">
        <v>4179.69677734375</v>
      </c>
      <c r="K7" s="31">
        <v>5160.4482421875</v>
      </c>
      <c r="L7" s="31">
        <v>3087.68505859375</v>
      </c>
      <c r="M7" s="31">
        <v>3394.146728515625</v>
      </c>
      <c r="N7" s="31">
        <v>3364.896484375</v>
      </c>
      <c r="O7" s="29">
        <f t="shared" si="0"/>
        <v>-0.29470633778996369</v>
      </c>
      <c r="P7" s="29">
        <f t="shared" si="1"/>
        <v>-0.19494244113243206</v>
      </c>
    </row>
    <row r="8" spans="1:17" ht="18" customHeight="1">
      <c r="A8" s="185"/>
      <c r="B8" s="30" t="s">
        <v>194</v>
      </c>
      <c r="C8" s="33"/>
      <c r="D8" s="33">
        <f ca="1">15.711882*OFFSET(D$113,MATCH($N$1,$C$113:$C$114,0)-1,0)</f>
        <v>15.711881999999999</v>
      </c>
      <c r="E8" s="33">
        <f ca="1">10.318442*OFFSET(E$113,MATCH($N$1,$C$113:$C$114,0)-1,0)</f>
        <v>10.318441999999999</v>
      </c>
      <c r="F8" s="33">
        <f ca="1">14.592746*OFFSET(F$113,MATCH($N$1,$C$113:$C$114,0)-1,0)</f>
        <v>14.592746</v>
      </c>
      <c r="G8" s="33">
        <f ca="1">8.518224*OFFSET(G$113,MATCH($N$1,$C$113:$C$114,0)-1,0)</f>
        <v>8.518224</v>
      </c>
      <c r="H8" s="33">
        <f ca="1">14.201277*OFFSET(H$113,MATCH($N$1,$C$113:$C$114,0)-1,0)</f>
        <v>14.201276999999999</v>
      </c>
      <c r="I8" s="33">
        <f ca="1">14.729716*OFFSET(I$113,MATCH($N$1,$C$113:$C$114,0)-1,0)</f>
        <v>14.729716</v>
      </c>
      <c r="J8" s="33">
        <f ca="1">13.016245*OFFSET(J$113,MATCH($N$1,$C$113:$C$114,0)-1,0)</f>
        <v>13.016245</v>
      </c>
      <c r="K8" s="33">
        <f ca="1">13.970957*OFFSET(K$113,MATCH($N$1,$C$113:$C$114,0)-1,0)</f>
        <v>13.970957</v>
      </c>
      <c r="L8" s="33">
        <f ca="1">7.116862*OFFSET(L$113,MATCH($N$1,$C$113:$C$114,0)-1,0)</f>
        <v>7.1168620000000002</v>
      </c>
      <c r="M8" s="33">
        <f ca="1">7.8037135*OFFSET(M$113,MATCH($N$1,$C$113:$C$114,0)-1,0)</f>
        <v>7.8037134999999997</v>
      </c>
      <c r="N8" s="33">
        <v>9.2571069999999995</v>
      </c>
      <c r="O8" s="29">
        <f t="shared" ca="1" si="0"/>
        <v>-0.41082124980317442</v>
      </c>
      <c r="P8" s="29">
        <f t="shared" ca="1" si="1"/>
        <v>-0.28880356815656127</v>
      </c>
    </row>
    <row r="9" spans="1:17" ht="18" customHeight="1">
      <c r="A9" s="185"/>
      <c r="B9" s="30" t="s">
        <v>195</v>
      </c>
      <c r="C9" s="31"/>
      <c r="D9" s="31">
        <v>8950</v>
      </c>
      <c r="E9" s="31">
        <v>7121</v>
      </c>
      <c r="F9" s="31">
        <v>8318</v>
      </c>
      <c r="G9" s="31">
        <v>6282</v>
      </c>
      <c r="H9" s="31">
        <v>8597</v>
      </c>
      <c r="I9" s="31">
        <v>8884</v>
      </c>
      <c r="J9" s="31">
        <v>7840</v>
      </c>
      <c r="K9" s="31">
        <v>8189</v>
      </c>
      <c r="L9" s="31">
        <v>6681</v>
      </c>
      <c r="M9" s="31">
        <v>6231</v>
      </c>
      <c r="N9" s="31">
        <v>6035</v>
      </c>
      <c r="O9" s="29">
        <f t="shared" si="0"/>
        <v>-0.32569832402234639</v>
      </c>
      <c r="P9" s="29">
        <f t="shared" si="1"/>
        <v>-0.23022959183673469</v>
      </c>
    </row>
    <row r="10" spans="1:17" ht="18" customHeight="1">
      <c r="A10" s="185"/>
      <c r="B10" s="30" t="s">
        <v>196</v>
      </c>
      <c r="C10" s="31"/>
      <c r="D10" s="31">
        <v>6807.9400000000005</v>
      </c>
      <c r="E10" s="31">
        <v>5150.78</v>
      </c>
      <c r="F10" s="31">
        <v>6350.8600000000006</v>
      </c>
      <c r="G10" s="31">
        <v>4748.5600000000004</v>
      </c>
      <c r="H10" s="31">
        <v>6593.02</v>
      </c>
      <c r="I10" s="31">
        <v>6516.22</v>
      </c>
      <c r="J10" s="31">
        <v>5927.54</v>
      </c>
      <c r="K10" s="31">
        <v>6390.02</v>
      </c>
      <c r="L10" s="31">
        <v>4994.78</v>
      </c>
      <c r="M10" s="31">
        <v>4826.9000000000005</v>
      </c>
      <c r="N10" s="31">
        <v>4786.1000000000004</v>
      </c>
      <c r="O10" s="29">
        <f t="shared" si="0"/>
        <v>-0.29698264085758685</v>
      </c>
      <c r="P10" s="29">
        <f t="shared" si="1"/>
        <v>-0.19256554995833003</v>
      </c>
    </row>
    <row r="11" spans="1:17" ht="18" customHeight="1">
      <c r="A11" s="185"/>
      <c r="B11" s="30" t="s">
        <v>197</v>
      </c>
      <c r="C11" s="31"/>
      <c r="D11" s="31">
        <v>234.04135131835938</v>
      </c>
      <c r="E11" s="31">
        <v>163.70278930664063</v>
      </c>
      <c r="F11" s="31">
        <v>186.71607971191406</v>
      </c>
      <c r="G11" s="31">
        <v>151.18429565429688</v>
      </c>
      <c r="H11" s="31">
        <v>180.3089599609375</v>
      </c>
      <c r="I11" s="31">
        <v>154.90480041503906</v>
      </c>
      <c r="J11" s="31">
        <v>168.3575439453125</v>
      </c>
      <c r="K11" s="31">
        <v>155.22355651855469</v>
      </c>
      <c r="L11" s="31">
        <v>153.21150207519531</v>
      </c>
      <c r="M11" s="31">
        <v>131.45384216308594</v>
      </c>
      <c r="N11" s="31">
        <v>129.19432067871094</v>
      </c>
      <c r="O11" s="34">
        <f t="shared" si="0"/>
        <v>-0.44798506780551012</v>
      </c>
      <c r="P11" s="34">
        <f t="shared" si="1"/>
        <v>-0.23261935490887733</v>
      </c>
    </row>
    <row r="12" spans="1:17" ht="18" customHeight="1">
      <c r="A12" s="186" t="s">
        <v>198</v>
      </c>
      <c r="B12" s="35" t="s">
        <v>199</v>
      </c>
      <c r="C12" s="36"/>
      <c r="D12" s="36">
        <v>14.133029937744141</v>
      </c>
      <c r="E12" s="36">
        <v>14.036491394042969</v>
      </c>
      <c r="F12" s="36">
        <v>14.169428825378418</v>
      </c>
      <c r="G12" s="36">
        <v>14.125</v>
      </c>
      <c r="H12" s="36">
        <v>14.273651123046875</v>
      </c>
      <c r="I12" s="36">
        <v>14.05814266204834</v>
      </c>
      <c r="J12" s="36">
        <v>14.109841346740723</v>
      </c>
      <c r="K12" s="36">
        <v>14.08712100982666</v>
      </c>
      <c r="L12" s="36">
        <v>13.943235397338867</v>
      </c>
      <c r="M12" s="36">
        <v>13.845967292785645</v>
      </c>
      <c r="N12" s="36">
        <v>13.65052604675293</v>
      </c>
      <c r="O12" s="29">
        <f t="shared" si="0"/>
        <v>-3.4140159124875266E-2</v>
      </c>
      <c r="P12" s="29">
        <f t="shared" si="1"/>
        <v>-3.2552832360081191E-2</v>
      </c>
    </row>
    <row r="13" spans="1:17" ht="18" customHeight="1">
      <c r="A13" s="187"/>
      <c r="B13" s="37" t="s">
        <v>190</v>
      </c>
      <c r="C13" s="31"/>
      <c r="D13" s="31">
        <v>176.81817626953125</v>
      </c>
      <c r="E13" s="31">
        <v>171.42105102539063</v>
      </c>
      <c r="F13" s="31">
        <v>175.75714111328125</v>
      </c>
      <c r="G13" s="31">
        <v>174.39654541015625</v>
      </c>
      <c r="H13" s="31">
        <v>176.90475463867188</v>
      </c>
      <c r="I13" s="31">
        <v>172.94285583496094</v>
      </c>
      <c r="J13" s="31">
        <v>171.4761962890625</v>
      </c>
      <c r="K13" s="31">
        <v>177.30302429199219</v>
      </c>
      <c r="L13" s="31">
        <v>172.95588684082031</v>
      </c>
      <c r="M13" s="31">
        <v>179.01612854003906</v>
      </c>
      <c r="N13" s="31">
        <v>178.57894897460938</v>
      </c>
      <c r="O13" s="29">
        <f t="shared" si="0"/>
        <v>9.958097873343669E-3</v>
      </c>
      <c r="P13" s="29">
        <f t="shared" si="1"/>
        <v>4.1421216700967371E-2</v>
      </c>
    </row>
    <row r="14" spans="1:17" ht="18" customHeight="1">
      <c r="A14" s="187"/>
      <c r="B14" s="37" t="s">
        <v>191</v>
      </c>
      <c r="C14" s="31"/>
      <c r="D14" s="31">
        <v>42.409091949462891</v>
      </c>
      <c r="E14" s="31">
        <v>39.385963439941406</v>
      </c>
      <c r="F14" s="31">
        <v>42.271427154541016</v>
      </c>
      <c r="G14" s="31">
        <v>39.724136352539063</v>
      </c>
      <c r="H14" s="31">
        <v>40.857143402099609</v>
      </c>
      <c r="I14" s="31">
        <v>38.614284515380859</v>
      </c>
      <c r="J14" s="31">
        <v>36.841270446777344</v>
      </c>
      <c r="K14" s="31">
        <v>38.227272033691406</v>
      </c>
      <c r="L14" s="31">
        <v>36.705883026123047</v>
      </c>
      <c r="M14" s="31">
        <v>36.758064270019531</v>
      </c>
      <c r="N14" s="31">
        <v>34.263156890869141</v>
      </c>
      <c r="O14" s="29">
        <f t="shared" si="0"/>
        <v>-0.19207992164276741</v>
      </c>
      <c r="P14" s="29">
        <f t="shared" si="1"/>
        <v>-6.997895362030658E-2</v>
      </c>
    </row>
    <row r="15" spans="1:17" ht="18" customHeight="1">
      <c r="A15" s="187"/>
      <c r="B15" s="37" t="s">
        <v>192</v>
      </c>
      <c r="C15" s="31"/>
      <c r="D15" s="31">
        <v>154.46733093261719</v>
      </c>
      <c r="E15" s="31">
        <v>148.96176147460938</v>
      </c>
      <c r="F15" s="31">
        <v>154.012939453125</v>
      </c>
      <c r="G15" s="31">
        <v>150.51615905761719</v>
      </c>
      <c r="H15" s="31">
        <v>153.59867858886719</v>
      </c>
      <c r="I15" s="31">
        <v>148.76445007324219</v>
      </c>
      <c r="J15" s="31">
        <v>148.7816162109375</v>
      </c>
      <c r="K15" s="31">
        <v>151.39942932128906</v>
      </c>
      <c r="L15" s="31">
        <v>148.65296936035156</v>
      </c>
      <c r="M15" s="31">
        <v>150.90176391601563</v>
      </c>
      <c r="N15" s="31">
        <v>149.12356567382813</v>
      </c>
      <c r="O15" s="29">
        <f t="shared" si="0"/>
        <v>-3.4594792481525798E-2</v>
      </c>
      <c r="P15" s="29">
        <f t="shared" si="1"/>
        <v>2.2983314175443604E-3</v>
      </c>
    </row>
    <row r="16" spans="1:17" ht="18" customHeight="1">
      <c r="A16" s="187"/>
      <c r="B16" s="37" t="s">
        <v>193</v>
      </c>
      <c r="C16" s="33"/>
      <c r="D16" s="33">
        <v>72.286598205566406</v>
      </c>
      <c r="E16" s="33">
        <v>63.381999969482422</v>
      </c>
      <c r="F16" s="33">
        <v>67.466987609863281</v>
      </c>
      <c r="G16" s="33">
        <v>47.550048828125</v>
      </c>
      <c r="H16" s="33">
        <v>74.060020446777344</v>
      </c>
      <c r="I16" s="33">
        <v>67.508705139160156</v>
      </c>
      <c r="J16" s="33">
        <v>66.344398498535156</v>
      </c>
      <c r="K16" s="33">
        <v>78.188606262207031</v>
      </c>
      <c r="L16" s="33">
        <v>45.407135009765625</v>
      </c>
      <c r="M16" s="33">
        <v>54.744300842285156</v>
      </c>
      <c r="N16" s="33">
        <v>59.033271789550781</v>
      </c>
      <c r="O16" s="29">
        <f t="shared" si="0"/>
        <v>-0.18334417091154603</v>
      </c>
      <c r="P16" s="29">
        <f t="shared" si="1"/>
        <v>-0.11019960802185584</v>
      </c>
    </row>
    <row r="17" spans="1:16" ht="18" customHeight="1">
      <c r="A17" s="187"/>
      <c r="B17" s="37" t="s">
        <v>200</v>
      </c>
      <c r="C17" s="33"/>
      <c r="D17" s="33">
        <f ca="1">238.0588125*OFFSET(D$113,MATCH($N$1,$C$113:$C$114,0)-1,0)</f>
        <v>238.05881249999999</v>
      </c>
      <c r="E17" s="33">
        <f ca="1">181.025296875*OFFSET(E$113,MATCH($N$1,$C$113:$C$114,0)-1,0)</f>
        <v>181.02529687500001</v>
      </c>
      <c r="F17" s="33">
        <f ca="1">208.4678125*OFFSET(F$113,MATCH($N$1,$C$113:$C$114,0)-1,0)</f>
        <v>208.46781250000001</v>
      </c>
      <c r="G17" s="33">
        <f ca="1">146.8659375*OFFSET(G$113,MATCH($N$1,$C$113:$C$114,0)-1,0)</f>
        <v>146.8659375</v>
      </c>
      <c r="H17" s="33">
        <f ca="1">225.41709375*OFFSET(H$113,MATCH($N$1,$C$113:$C$114,0)-1,0)</f>
        <v>225.41709374999999</v>
      </c>
      <c r="I17" s="33">
        <f ca="1">210.424515625*OFFSET(I$113,MATCH($N$1,$C$113:$C$114,0)-1,0)</f>
        <v>210.424515625</v>
      </c>
      <c r="J17" s="33">
        <f ca="1">206.6070625*OFFSET(J$113,MATCH($N$1,$C$113:$C$114,0)-1,0)</f>
        <v>206.60706250000001</v>
      </c>
      <c r="K17" s="33">
        <f ca="1">211.681171875*OFFSET(K$113,MATCH($N$1,$C$113:$C$114,0)-1,0)</f>
        <v>211.68117187499999</v>
      </c>
      <c r="L17" s="33">
        <f ca="1">104.659734375*OFFSET(L$113,MATCH($N$1,$C$113:$C$114,0)-1,0)</f>
        <v>104.659734375</v>
      </c>
      <c r="M17" s="33">
        <f ca="1">125.8663515625*OFFSET(M$113,MATCH($N$1,$C$113:$C$114,0)-1,0)</f>
        <v>125.8663515625</v>
      </c>
      <c r="N17" s="33">
        <v>162.405390625</v>
      </c>
      <c r="O17" s="29">
        <f t="shared" ca="1" si="0"/>
        <v>-0.31779299023009283</v>
      </c>
      <c r="P17" s="29">
        <f t="shared" ca="1" si="1"/>
        <v>-0.21394075952752106</v>
      </c>
    </row>
    <row r="18" spans="1:16" ht="18" customHeight="1">
      <c r="A18" s="187"/>
      <c r="B18" s="37" t="s">
        <v>195</v>
      </c>
      <c r="C18" s="31"/>
      <c r="D18" s="31">
        <v>135.60606384277344</v>
      </c>
      <c r="E18" s="31">
        <v>124.92982482910156</v>
      </c>
      <c r="F18" s="31">
        <v>118.82857513427734</v>
      </c>
      <c r="G18" s="31">
        <v>108.31034851074219</v>
      </c>
      <c r="H18" s="31">
        <v>136.46031188964844</v>
      </c>
      <c r="I18" s="31">
        <v>126.91428375244141</v>
      </c>
      <c r="J18" s="31">
        <v>124.44444274902344</v>
      </c>
      <c r="K18" s="31">
        <v>124.07575988769531</v>
      </c>
      <c r="L18" s="31">
        <v>98.25</v>
      </c>
      <c r="M18" s="31">
        <v>100.5</v>
      </c>
      <c r="N18" s="31">
        <v>105.87718963623047</v>
      </c>
      <c r="O18" s="29">
        <f t="shared" si="0"/>
        <v>-0.21922968165355569</v>
      </c>
      <c r="P18" s="29">
        <f t="shared" si="1"/>
        <v>-0.14920114311764776</v>
      </c>
    </row>
    <row r="19" spans="1:16" ht="18" customHeight="1">
      <c r="A19" s="187"/>
      <c r="B19" s="37" t="s">
        <v>201</v>
      </c>
      <c r="C19" s="31"/>
      <c r="D19" s="31">
        <v>32.909091949462891</v>
      </c>
      <c r="E19" s="31">
        <v>34.543861389160156</v>
      </c>
      <c r="F19" s="31">
        <v>35.385715484619141</v>
      </c>
      <c r="G19" s="31">
        <v>36.465518951416016</v>
      </c>
      <c r="H19" s="31">
        <v>37.365077972412109</v>
      </c>
      <c r="I19" s="31">
        <v>38.228572845458984</v>
      </c>
      <c r="J19" s="31">
        <v>39.507938385009766</v>
      </c>
      <c r="K19" s="31">
        <v>40.530303955078125</v>
      </c>
      <c r="L19" s="31">
        <v>40.558822631835938</v>
      </c>
      <c r="M19" s="31">
        <v>39.370967864990234</v>
      </c>
      <c r="N19" s="31">
        <v>41.228069305419922</v>
      </c>
      <c r="O19" s="29">
        <f t="shared" si="0"/>
        <v>0.25278659674755338</v>
      </c>
      <c r="P19" s="29">
        <f t="shared" si="1"/>
        <v>4.3538868154730494E-2</v>
      </c>
    </row>
    <row r="20" spans="1:16" ht="18" customHeight="1">
      <c r="A20" s="187"/>
      <c r="B20" s="37" t="s">
        <v>202</v>
      </c>
      <c r="C20" s="38"/>
      <c r="D20" s="38">
        <v>0.53306317329406738</v>
      </c>
      <c r="E20" s="38">
        <v>0.50734084844589233</v>
      </c>
      <c r="F20" s="38">
        <v>0.56776738166809082</v>
      </c>
      <c r="G20" s="38">
        <v>0.4390166699886322</v>
      </c>
      <c r="H20" s="38">
        <v>0.54272204637527466</v>
      </c>
      <c r="I20" s="38">
        <v>0.53192359209060669</v>
      </c>
      <c r="J20" s="38">
        <v>0.53312462568283081</v>
      </c>
      <c r="K20" s="38">
        <v>0.63016825914382935</v>
      </c>
      <c r="L20" s="38">
        <v>0.46215912699699402</v>
      </c>
      <c r="M20" s="38">
        <v>0.544719398021698</v>
      </c>
      <c r="N20" s="38">
        <v>0.5575636625289917</v>
      </c>
      <c r="O20" s="29">
        <f t="shared" si="0"/>
        <v>4.5961699217605637E-2</v>
      </c>
      <c r="P20" s="29">
        <f t="shared" si="1"/>
        <v>4.584113295246707E-2</v>
      </c>
    </row>
    <row r="21" spans="1:16" ht="18" customHeight="1">
      <c r="A21" s="188"/>
      <c r="B21" s="39" t="s">
        <v>203</v>
      </c>
      <c r="C21" s="40"/>
      <c r="D21" s="40">
        <f ca="1">3293*OFFSET(D$113,MATCH($N$1,$C$113:$C$114,0)-1,0)</f>
        <v>3293</v>
      </c>
      <c r="E21" s="40">
        <f ca="1">2856*OFFSET(E$113,MATCH($N$1,$C$113:$C$114,0)-1,0)</f>
        <v>2856</v>
      </c>
      <c r="F21" s="40">
        <f ca="1">3090*OFFSET(F$113,MATCH($N$1,$C$113:$C$114,0)-1,0)</f>
        <v>3090</v>
      </c>
      <c r="G21" s="40">
        <f ca="1">3089*OFFSET(G$113,MATCH($N$1,$C$113:$C$114,0)-1,0)</f>
        <v>3089</v>
      </c>
      <c r="H21" s="40">
        <f ca="1">3044*OFFSET(H$113,MATCH($N$1,$C$113:$C$114,0)-1,0)</f>
        <v>3044</v>
      </c>
      <c r="I21" s="40">
        <f ca="1">3117*OFFSET(I$113,MATCH($N$1,$C$113:$C$114,0)-1,0)</f>
        <v>3117</v>
      </c>
      <c r="J21" s="40">
        <f ca="1">3114*OFFSET(J$113,MATCH($N$1,$C$113:$C$114,0)-1,0)</f>
        <v>3114</v>
      </c>
      <c r="K21" s="40">
        <f ca="1">2707*OFFSET(K$113,MATCH($N$1,$C$113:$C$114,0)-1,0)</f>
        <v>2707</v>
      </c>
      <c r="L21" s="40">
        <f ca="1">2305*OFFSET(L$113,MATCH($N$1,$C$113:$C$114,0)-1,0)</f>
        <v>2305</v>
      </c>
      <c r="M21" s="40">
        <f ca="1">2299*OFFSET(M$113,MATCH($N$1,$C$113:$C$114,0)-1,0)</f>
        <v>2299</v>
      </c>
      <c r="N21" s="40">
        <v>2751</v>
      </c>
      <c r="O21" s="34">
        <f t="shared" ca="1" si="0"/>
        <v>-0.1645915578499848</v>
      </c>
      <c r="P21" s="34">
        <f t="shared" ca="1" si="1"/>
        <v>-0.11657032755298652</v>
      </c>
    </row>
    <row r="22" spans="1:16" ht="18" customHeight="1">
      <c r="A22" s="189" t="s">
        <v>204</v>
      </c>
      <c r="B22" s="35" t="s">
        <v>205</v>
      </c>
      <c r="C22" s="41"/>
      <c r="D22" s="41">
        <v>2.8683846365261076</v>
      </c>
      <c r="E22" s="41">
        <v>2.8315494410973101</v>
      </c>
      <c r="F22" s="41">
        <v>3.055330906822975</v>
      </c>
      <c r="G22" s="41">
        <v>2.3536535412319641</v>
      </c>
      <c r="H22" s="41">
        <v>2.8779996556265526</v>
      </c>
      <c r="I22" s="41">
        <v>2.9000436235206841</v>
      </c>
      <c r="J22" s="41">
        <v>2.9461208976049122</v>
      </c>
      <c r="K22" s="41">
        <v>3.368814536579968</v>
      </c>
      <c r="L22" s="41">
        <v>2.4905044539074437</v>
      </c>
      <c r="M22" s="41">
        <v>2.8947798306090391</v>
      </c>
      <c r="N22" s="41">
        <v>2.8545223000264253</v>
      </c>
      <c r="O22" s="29">
        <f t="shared" si="0"/>
        <v>-4.8328025199824726E-3</v>
      </c>
      <c r="P22" s="29">
        <f t="shared" si="1"/>
        <v>-3.1091255505825734E-2</v>
      </c>
    </row>
    <row r="23" spans="1:16" ht="18" customHeight="1">
      <c r="A23" s="189"/>
      <c r="B23" s="37" t="s">
        <v>206</v>
      </c>
      <c r="C23" s="38"/>
      <c r="D23" s="38">
        <f ca="1">9.44634631197885*OFFSET(D$113,MATCH($N$1,$C$113:$C$114,0)-1,0)</f>
        <v>9.44634631197885</v>
      </c>
      <c r="E23" s="38">
        <f ca="1">8.0871868738393*OFFSET(E$113,MATCH($N$1,$C$113:$C$114,0)-1,0)</f>
        <v>8.0871868738393005</v>
      </c>
      <c r="F23" s="38">
        <f ca="1">9.44073795457129*OFFSET(F$113,MATCH($N$1,$C$113:$C$114,0)-1,0)</f>
        <v>9.4407379545712899</v>
      </c>
      <c r="G23" s="38">
        <f ca="1">7.2696357291387*OFFSET(G$113,MATCH($N$1,$C$113:$C$114,0)-1,0)</f>
        <v>7.2696357291386997</v>
      </c>
      <c r="H23" s="38">
        <f ca="1">8.75979123785224*OFFSET(H$113,MATCH($N$1,$C$113:$C$114,0)-1,0)</f>
        <v>8.7597912378522391</v>
      </c>
      <c r="I23" s="38">
        <f ca="1">9.03943089284236*OFFSET(I$113,MATCH($N$1,$C$113:$C$114,0)-1,0)</f>
        <v>9.0394308928423595</v>
      </c>
      <c r="J23" s="38">
        <f ca="1">9.17469143137161*OFFSET(J$113,MATCH($N$1,$C$113:$C$114,0)-1,0)</f>
        <v>9.1746914313716097</v>
      </c>
      <c r="K23" s="38">
        <f ca="1">9.12044149426758*OFFSET(K$113,MATCH($N$1,$C$113:$C$114,0)-1,0)</f>
        <v>9.1204414942675793</v>
      </c>
      <c r="L23" s="38">
        <f ca="1">5.74040917907833*OFFSET(L$113,MATCH($N$1,$C$113:$C$114,0)-1,0)</f>
        <v>5.7404091790783296</v>
      </c>
      <c r="M23" s="38">
        <f ca="1">6.65558551757116*OFFSET(M$113,MATCH($N$1,$C$113:$C$114,0)-1,0)</f>
        <v>6.6555855175711596</v>
      </c>
      <c r="N23" s="38">
        <v>7.8530258467839653</v>
      </c>
      <c r="O23" s="29">
        <f t="shared" ca="1" si="0"/>
        <v>-0.16867055394469346</v>
      </c>
      <c r="P23" s="29">
        <f t="shared" ca="1" si="1"/>
        <v>-0.14405558971371926</v>
      </c>
    </row>
    <row r="24" spans="1:16" ht="18" customHeight="1">
      <c r="A24" s="189"/>
      <c r="B24" s="37" t="s">
        <v>153</v>
      </c>
      <c r="C24" s="38"/>
      <c r="D24" s="38">
        <f ca="1">9.38830441626321*OFFSET(D$113,MATCH($N$1,$C$113:$C$114,0)-1,0)</f>
        <v>9.3883044162632103</v>
      </c>
      <c r="E24" s="38">
        <f ca="1">8.86072654622975*OFFSET(E$113,MATCH($N$1,$C$113:$C$114,0)-1,0)</f>
        <v>8.8607265462297509</v>
      </c>
      <c r="F24" s="38">
        <f ca="1">9.00593476206334*OFFSET(F$113,MATCH($N$1,$C$113:$C$114,0)-1,0)</f>
        <v>9.0059347620633403</v>
      </c>
      <c r="G24" s="38">
        <f ca="1">7.14975445580277*OFFSET(G$113,MATCH($N$1,$C$113:$C$114,0)-1,0)</f>
        <v>7.1497544558027704</v>
      </c>
      <c r="H24" s="38">
        <f ca="1">7.93089093389889*OFFSET(H$113,MATCH($N$1,$C$113:$C$114,0)-1,0)</f>
        <v>7.9308909338988904</v>
      </c>
      <c r="I24" s="38">
        <f ca="1">8.38081229178027*OFFSET(I$113,MATCH($N$1,$C$113:$C$114,0)-1,0)</f>
        <v>8.3808122917802699</v>
      </c>
      <c r="J24" s="38">
        <f ca="1">8.78819906590285*OFFSET(J$113,MATCH($N$1,$C$113:$C$114,0)-1,0)</f>
        <v>8.7881990659028499</v>
      </c>
      <c r="K24" s="38">
        <f ca="1">8.7991702837937*OFFSET(K$113,MATCH($N$1,$C$113:$C$114,0)-1,0)</f>
        <v>8.7991702837936998</v>
      </c>
      <c r="L24" s="38">
        <f ca="1">5.93434079245304*OFFSET(L$113,MATCH($N$1,$C$113:$C$114,0)-1,0)</f>
        <v>5.9343407924530398</v>
      </c>
      <c r="M24" s="38">
        <f ca="1">5.98058747984793*OFFSET(M$113,MATCH($N$1,$C$113:$C$114,0)-1,0)</f>
        <v>5.9805874798479302</v>
      </c>
      <c r="N24" s="38">
        <v>7.5013618109653954</v>
      </c>
      <c r="O24" s="29">
        <f t="shared" ca="1" si="0"/>
        <v>-0.20098864732476018</v>
      </c>
      <c r="P24" s="29">
        <f t="shared" ca="1" si="1"/>
        <v>-0.14642786824552342</v>
      </c>
    </row>
    <row r="25" spans="1:16" ht="18" customHeight="1">
      <c r="A25" s="189"/>
      <c r="B25" s="37" t="s">
        <v>154</v>
      </c>
      <c r="C25" s="38"/>
      <c r="D25" s="38">
        <f ca="1">1.41429777129177*OFFSET(D$113,MATCH($N$1,$C$113:$C$114,0)-1,0)</f>
        <v>1.4142977712917699</v>
      </c>
      <c r="E25" s="38">
        <f ca="1">0.606830192808198*OFFSET(E$113,MATCH($N$1,$C$113:$C$114,0)-1,0)</f>
        <v>0.60683019280819805</v>
      </c>
      <c r="F25" s="38">
        <f ca="1">1.11717222374798*OFFSET(F$113,MATCH($N$1,$C$113:$C$114,0)-1,0)</f>
        <v>1.11717222374798</v>
      </c>
      <c r="G25" s="38">
        <f ca="1">0.539726756974906*OFFSET(G$113,MATCH($N$1,$C$113:$C$114,0)-1,0)</f>
        <v>0.53972675697490602</v>
      </c>
      <c r="H25" s="38">
        <f ca="1">1.44394577855343*OFFSET(H$113,MATCH($N$1,$C$113:$C$114,0)-1,0)</f>
        <v>1.44394577855343</v>
      </c>
      <c r="I25" s="38">
        <f ca="1">1.4883504344764*OFFSET(I$113,MATCH($N$1,$C$113:$C$114,0)-1,0)</f>
        <v>1.4883504344764</v>
      </c>
      <c r="J25" s="38">
        <f ca="1">0.80919821159859*OFFSET(J$113,MATCH($N$1,$C$113:$C$114,0)-1,0)</f>
        <v>0.80919821159858996</v>
      </c>
      <c r="K25" s="38">
        <f ca="1">0.588705685635616*OFFSET(K$113,MATCH($N$1,$C$113:$C$114,0)-1,0)</f>
        <v>0.58870568563561598</v>
      </c>
      <c r="L25" s="38">
        <f ca="1">1.17698359382172*OFFSET(L$113,MATCH($N$1,$C$113:$C$114,0)-1,0)</f>
        <v>1.1769835938217199</v>
      </c>
      <c r="M25" s="38">
        <f ca="1">1.08755028334244*OFFSET(M$113,MATCH($N$1,$C$113:$C$114,0)-1,0)</f>
        <v>1.08755028334244</v>
      </c>
      <c r="N25" s="38">
        <v>0.83844064782139527</v>
      </c>
      <c r="O25" s="29">
        <f t="shared" ca="1" si="0"/>
        <v>-0.40716823229128546</v>
      </c>
      <c r="P25" s="29">
        <f t="shared" ca="1" si="1"/>
        <v>3.6137544304548325E-2</v>
      </c>
    </row>
    <row r="26" spans="1:16" ht="18" customHeight="1">
      <c r="A26" s="189"/>
      <c r="B26" s="37" t="s">
        <v>207</v>
      </c>
      <c r="C26" s="33"/>
      <c r="D26" s="33">
        <f ca="1">67.14*OFFSET(D$113,MATCH($N$1,$C$113:$C$114,0)-1,0)</f>
        <v>67.14</v>
      </c>
      <c r="E26" s="33">
        <f ca="1">63.02*OFFSET(E$113,MATCH($N$1,$C$113:$C$114,0)-1,0)</f>
        <v>63.02</v>
      </c>
      <c r="F26" s="33">
        <f ca="1">78.17*OFFSET(F$113,MATCH($N$1,$C$113:$C$114,0)-1,0)</f>
        <v>78.17</v>
      </c>
      <c r="G26" s="33">
        <f ca="1">56.36*OFFSET(G$113,MATCH($N$1,$C$113:$C$114,0)-1,0)</f>
        <v>56.36</v>
      </c>
      <c r="H26" s="33">
        <f ca="1">78.75*OFFSET(H$113,MATCH($N$1,$C$113:$C$114,0)-1,0)</f>
        <v>78.75</v>
      </c>
      <c r="I26" s="33">
        <f ca="1">95.08*OFFSET(I$113,MATCH($N$1,$C$113:$C$114,0)-1,0)</f>
        <v>95.08</v>
      </c>
      <c r="J26" s="33">
        <f ca="1">77.31*OFFSET(J$113,MATCH($N$1,$C$113:$C$114,0)-1,0)</f>
        <v>77.31</v>
      </c>
      <c r="K26" s="33">
        <f ca="1">90.01*OFFSET(K$113,MATCH($N$1,$C$113:$C$114,0)-1,0)</f>
        <v>90.01</v>
      </c>
      <c r="L26" s="33">
        <f ca="1">46.47*OFFSET(L$113,MATCH($N$1,$C$113:$C$114,0)-1,0)</f>
        <v>46.47</v>
      </c>
      <c r="M26" s="33">
        <f ca="1">59.38*OFFSET(M$113,MATCH($N$1,$C$113:$C$114,0)-1,0)</f>
        <v>59.38</v>
      </c>
      <c r="N26" s="33">
        <v>71.650000000000006</v>
      </c>
      <c r="O26" s="29">
        <f t="shared" ca="1" si="0"/>
        <v>6.7173071194518985E-2</v>
      </c>
      <c r="P26" s="29">
        <f t="shared" ca="1" si="1"/>
        <v>-7.3211744923037073E-2</v>
      </c>
    </row>
    <row r="27" spans="1:16" ht="18" customHeight="1">
      <c r="A27" s="190"/>
      <c r="B27" s="37" t="s">
        <v>208</v>
      </c>
      <c r="C27" s="33"/>
      <c r="D27" s="33">
        <f ca="1">10.04*OFFSET(D$113,MATCH($N$1,$C$113:$C$114,0)-1,0)</f>
        <v>10.039999999999999</v>
      </c>
      <c r="E27" s="33">
        <f ca="1">4.74*OFFSET(E$113,MATCH($N$1,$C$113:$C$114,0)-1,0)</f>
        <v>4.74</v>
      </c>
      <c r="F27" s="33">
        <f ca="1">9.26*OFFSET(F$113,MATCH($N$1,$C$113:$C$114,0)-1,0)</f>
        <v>9.26</v>
      </c>
      <c r="G27" s="33">
        <f ca="1">4.18*OFFSET(G$113,MATCH($N$1,$C$113:$C$114,0)-1,0)</f>
        <v>4.18</v>
      </c>
      <c r="H27" s="33">
        <f ca="1">13*OFFSET(H$113,MATCH($N$1,$C$113:$C$114,0)-1,0)</f>
        <v>13</v>
      </c>
      <c r="I27" s="33">
        <f ca="1">15.64*OFFSET(I$113,MATCH($N$1,$C$113:$C$114,0)-1,0)</f>
        <v>15.64</v>
      </c>
      <c r="J27" s="33">
        <f ca="1">6.81*OFFSET(J$113,MATCH($N$1,$C$113:$C$114,0)-1,0)</f>
        <v>6.81</v>
      </c>
      <c r="K27" s="33">
        <f ca="1">5.83*OFFSET(K$113,MATCH($N$1,$C$113:$C$114,0)-1,0)</f>
        <v>5.83</v>
      </c>
      <c r="L27" s="33">
        <f ca="1">9.54*OFFSET(L$113,MATCH($N$1,$C$113:$C$114,0)-1,0)</f>
        <v>9.5399999999999991</v>
      </c>
      <c r="M27" s="33">
        <f ca="1">9.72*OFFSET(M$113,MATCH($N$1,$C$113:$C$114,0)-1,0)</f>
        <v>9.7200000000000006</v>
      </c>
      <c r="N27" s="33">
        <v>7.63</v>
      </c>
      <c r="O27" s="34">
        <f t="shared" ca="1" si="0"/>
        <v>-0.24003984063745015</v>
      </c>
      <c r="P27" s="34">
        <f t="shared" ca="1" si="1"/>
        <v>0.1204111600587372</v>
      </c>
    </row>
    <row r="28" spans="1:16" s="78" customFormat="1" ht="18" customHeight="1">
      <c r="A28" s="191" t="s">
        <v>209</v>
      </c>
      <c r="B28" s="82" t="s">
        <v>200</v>
      </c>
      <c r="C28" s="83"/>
      <c r="D28" s="83">
        <f ca="1">238.1*OFFSET(D$113,MATCH($N$1,$C$113:$C$114,0)-1,0)</f>
        <v>238.1</v>
      </c>
      <c r="E28" s="83">
        <f ca="1">181*OFFSET(E$113,MATCH($N$1,$C$113:$C$114,0)-1,0)</f>
        <v>181</v>
      </c>
      <c r="F28" s="83">
        <f ca="1">208.5*OFFSET(F$113,MATCH($N$1,$C$113:$C$114,0)-1,0)</f>
        <v>208.5</v>
      </c>
      <c r="G28" s="83">
        <f ca="1">146.9*OFFSET(G$113,MATCH($N$1,$C$113:$C$114,0)-1,0)</f>
        <v>146.9</v>
      </c>
      <c r="H28" s="83">
        <f ca="1">225.4*OFFSET(H$113,MATCH($N$1,$C$113:$C$114,0)-1,0)</f>
        <v>225.4</v>
      </c>
      <c r="I28" s="83">
        <f ca="1">210.4*OFFSET(I$113,MATCH($N$1,$C$113:$C$114,0)-1,0)</f>
        <v>210.4</v>
      </c>
      <c r="J28" s="83">
        <f ca="1">206.6*OFFSET(J$113,MATCH($N$1,$C$113:$C$114,0)-1,0)</f>
        <v>206.6</v>
      </c>
      <c r="K28" s="83">
        <f ca="1">211.7*OFFSET(K$113,MATCH($N$1,$C$113:$C$114,0)-1,0)</f>
        <v>211.7</v>
      </c>
      <c r="L28" s="83">
        <f ca="1">104.7*OFFSET(L$113,MATCH($N$1,$C$113:$C$114,0)-1,0)</f>
        <v>104.7</v>
      </c>
      <c r="M28" s="83">
        <f ca="1">125.9*OFFSET(M$113,MATCH($N$1,$C$113:$C$114,0)-1,0)</f>
        <v>125.9</v>
      </c>
      <c r="N28" s="83">
        <v>162.4</v>
      </c>
      <c r="O28" s="84">
        <f t="shared" ca="1" si="0"/>
        <v>-0.31793364132717344</v>
      </c>
      <c r="P28" s="84">
        <f t="shared" ca="1" si="1"/>
        <v>-0.21393998063891573</v>
      </c>
    </row>
    <row r="29" spans="1:16" s="78" customFormat="1" ht="18" customHeight="1">
      <c r="A29" s="192"/>
      <c r="B29" s="85" t="s">
        <v>210</v>
      </c>
      <c r="C29" s="86"/>
      <c r="D29" s="86">
        <f ca="1">34.2*OFFSET(D$113,MATCH($N$1,$C$113:$C$114,0)-1,0)</f>
        <v>34.200000000000003</v>
      </c>
      <c r="E29" s="86">
        <f ca="1">30.9*OFFSET(E$113,MATCH($N$1,$C$113:$C$114,0)-1,0)</f>
        <v>30.9</v>
      </c>
      <c r="F29" s="86">
        <f ca="1">15.1*OFFSET(F$113,MATCH($N$1,$C$113:$C$114,0)-1,0)</f>
        <v>15.1</v>
      </c>
      <c r="G29" s="86">
        <f ca="1">8.5*OFFSET(G$113,MATCH($N$1,$C$113:$C$114,0)-1,0)</f>
        <v>8.5</v>
      </c>
      <c r="H29" s="86">
        <f ca="1">15.8*OFFSET(H$113,MATCH($N$1,$C$113:$C$114,0)-1,0)</f>
        <v>15.8</v>
      </c>
      <c r="I29" s="86">
        <f ca="1">19.3*OFFSET(I$113,MATCH($N$1,$C$113:$C$114,0)-1,0)</f>
        <v>19.3</v>
      </c>
      <c r="J29" s="86">
        <f ca="1">9.5*OFFSET(J$113,MATCH($N$1,$C$113:$C$114,0)-1,0)</f>
        <v>9.5</v>
      </c>
      <c r="K29" s="86">
        <f ca="1">6.2*OFFSET(K$113,MATCH($N$1,$C$113:$C$114,0)-1,0)</f>
        <v>6.2</v>
      </c>
      <c r="L29" s="86">
        <f ca="1">25*OFFSET(L$113,MATCH($N$1,$C$113:$C$114,0)-1,0)</f>
        <v>25</v>
      </c>
      <c r="M29" s="86">
        <f ca="1">7.8*OFFSET(M$113,MATCH($N$1,$C$113:$C$114,0)-1,0)</f>
        <v>7.8</v>
      </c>
      <c r="N29" s="86">
        <v>10.1</v>
      </c>
      <c r="O29" s="84">
        <f t="shared" ca="1" si="0"/>
        <v>-0.70467836257309935</v>
      </c>
      <c r="P29" s="84">
        <f t="shared" ca="1" si="1"/>
        <v>6.3157894736842066E-2</v>
      </c>
    </row>
    <row r="30" spans="1:16" s="78" customFormat="1" ht="18" customHeight="1">
      <c r="A30" s="192"/>
      <c r="B30" s="87" t="s">
        <v>211</v>
      </c>
      <c r="C30" s="88"/>
      <c r="D30" s="88">
        <f ca="1">272.2*OFFSET(D$113,MATCH($N$1,$C$113:$C$114,0)-1,0)</f>
        <v>272.2</v>
      </c>
      <c r="E30" s="88">
        <f ca="1">211.9*OFFSET(E$113,MATCH($N$1,$C$113:$C$114,0)-1,0)</f>
        <v>211.9</v>
      </c>
      <c r="F30" s="88">
        <f ca="1">223.5*OFFSET(F$113,MATCH($N$1,$C$113:$C$114,0)-1,0)</f>
        <v>223.5</v>
      </c>
      <c r="G30" s="88">
        <f ca="1">155.3*OFFSET(G$113,MATCH($N$1,$C$113:$C$114,0)-1,0)</f>
        <v>155.30000000000001</v>
      </c>
      <c r="H30" s="88">
        <f ca="1">241.2*OFFSET(H$113,MATCH($N$1,$C$113:$C$114,0)-1,0)</f>
        <v>241.2</v>
      </c>
      <c r="I30" s="88">
        <f ca="1">229.7*OFFSET(I$113,MATCH($N$1,$C$113:$C$114,0)-1,0)</f>
        <v>229.7</v>
      </c>
      <c r="J30" s="88">
        <f ca="1">216.1*OFFSET(J$113,MATCH($N$1,$C$113:$C$114,0)-1,0)</f>
        <v>216.1</v>
      </c>
      <c r="K30" s="88">
        <f ca="1">217.9*OFFSET(K$113,MATCH($N$1,$C$113:$C$114,0)-1,0)</f>
        <v>217.9</v>
      </c>
      <c r="L30" s="88">
        <f ca="1">129.7*OFFSET(L$113,MATCH($N$1,$C$113:$C$114,0)-1,0)</f>
        <v>129.69999999999999</v>
      </c>
      <c r="M30" s="88">
        <f ca="1">133.7*OFFSET(M$113,MATCH($N$1,$C$113:$C$114,0)-1,0)</f>
        <v>133.69999999999999</v>
      </c>
      <c r="N30" s="88">
        <v>172.5</v>
      </c>
      <c r="O30" s="84">
        <f t="shared" ca="1" si="0"/>
        <v>-0.36627479794268919</v>
      </c>
      <c r="P30" s="84">
        <f t="shared" ca="1" si="1"/>
        <v>-0.20175844516427577</v>
      </c>
    </row>
    <row r="31" spans="1:16" s="78" customFormat="1" ht="18" customHeight="1">
      <c r="A31" s="192"/>
      <c r="B31" s="85" t="s">
        <v>212</v>
      </c>
      <c r="C31" s="86"/>
      <c r="D31" s="86">
        <f ca="1">73.1*OFFSET(D$113,MATCH($N$1,$C$113:$C$114,0)-1,0)</f>
        <v>73.099999999999994</v>
      </c>
      <c r="E31" s="86">
        <f ca="1">61*OFFSET(E$113,MATCH($N$1,$C$113:$C$114,0)-1,0)</f>
        <v>61</v>
      </c>
      <c r="F31" s="86">
        <f ca="1">55.3*OFFSET(F$113,MATCH($N$1,$C$113:$C$114,0)-1,0)</f>
        <v>55.3</v>
      </c>
      <c r="G31" s="86">
        <f ca="1">34.5*OFFSET(G$113,MATCH($N$1,$C$113:$C$114,0)-1,0)</f>
        <v>34.5</v>
      </c>
      <c r="H31" s="86">
        <f ca="1">41.6*OFFSET(H$113,MATCH($N$1,$C$113:$C$114,0)-1,0)</f>
        <v>41.6</v>
      </c>
      <c r="I31" s="86">
        <f ca="1">44.9*OFFSET(I$113,MATCH($N$1,$C$113:$C$114,0)-1,0)</f>
        <v>44.9</v>
      </c>
      <c r="J31" s="86">
        <f ca="1">53.3*OFFSET(J$113,MATCH($N$1,$C$113:$C$114,0)-1,0)</f>
        <v>53.3</v>
      </c>
      <c r="K31" s="86">
        <f ca="1">53.1*OFFSET(K$113,MATCH($N$1,$C$113:$C$114,0)-1,0)</f>
        <v>53.1</v>
      </c>
      <c r="L31" s="86">
        <f ca="1">29*OFFSET(L$113,MATCH($N$1,$C$113:$C$114,0)-1,0)</f>
        <v>29</v>
      </c>
      <c r="M31" s="86">
        <f ca="1">37.1*OFFSET(M$113,MATCH($N$1,$C$113:$C$114,0)-1,0)</f>
        <v>37.1</v>
      </c>
      <c r="N31" s="86">
        <v>69.600000000000009</v>
      </c>
      <c r="O31" s="84">
        <f t="shared" ca="1" si="0"/>
        <v>-4.7879616963064107E-2</v>
      </c>
      <c r="P31" s="84">
        <f t="shared" ca="1" si="1"/>
        <v>0.30581613508442801</v>
      </c>
    </row>
    <row r="32" spans="1:16" s="78" customFormat="1" ht="18" customHeight="1">
      <c r="A32" s="192"/>
      <c r="B32" s="85" t="s">
        <v>213</v>
      </c>
      <c r="C32" s="86"/>
      <c r="D32" s="86">
        <f ca="1">64.2*OFFSET(D$113,MATCH($N$1,$C$113:$C$114,0)-1,0)</f>
        <v>64.2</v>
      </c>
      <c r="E32" s="86">
        <f ca="1">47.6*OFFSET(E$113,MATCH($N$1,$C$113:$C$114,0)-1,0)</f>
        <v>47.6</v>
      </c>
      <c r="F32" s="86">
        <f ca="1">40.2*OFFSET(F$113,MATCH($N$1,$C$113:$C$114,0)-1,0)</f>
        <v>40.200000000000003</v>
      </c>
      <c r="G32" s="86">
        <f ca="1">35.5*OFFSET(G$113,MATCH($N$1,$C$113:$C$114,0)-1,0)</f>
        <v>35.5</v>
      </c>
      <c r="H32" s="86">
        <f ca="1">58.3*OFFSET(H$113,MATCH($N$1,$C$113:$C$114,0)-1,0)</f>
        <v>58.3</v>
      </c>
      <c r="I32" s="86">
        <f ca="1">57.1*OFFSET(I$113,MATCH($N$1,$C$113:$C$114,0)-1,0)</f>
        <v>57.1</v>
      </c>
      <c r="J32" s="86">
        <f ca="1">55.7*OFFSET(J$113,MATCH($N$1,$C$113:$C$114,0)-1,0)</f>
        <v>55.7</v>
      </c>
      <c r="K32" s="86">
        <f ca="1">70.1*OFFSET(K$113,MATCH($N$1,$C$113:$C$114,0)-1,0)</f>
        <v>70.099999999999994</v>
      </c>
      <c r="L32" s="86">
        <f ca="1">31.3*OFFSET(L$113,MATCH($N$1,$C$113:$C$114,0)-1,0)</f>
        <v>31.3</v>
      </c>
      <c r="M32" s="86">
        <f ca="1">41.8*OFFSET(M$113,MATCH($N$1,$C$113:$C$114,0)-1,0)</f>
        <v>41.8</v>
      </c>
      <c r="N32" s="86">
        <v>41.5</v>
      </c>
      <c r="O32" s="84">
        <f t="shared" ca="1" si="0"/>
        <v>-0.353582554517134</v>
      </c>
      <c r="P32" s="84">
        <f t="shared" ca="1" si="1"/>
        <v>-0.25493716337522443</v>
      </c>
    </row>
    <row r="33" spans="1:16" s="78" customFormat="1" ht="18" customHeight="1">
      <c r="A33" s="192"/>
      <c r="B33" s="85" t="s">
        <v>214</v>
      </c>
      <c r="C33" s="86"/>
      <c r="D33" s="86">
        <f ca="1">47.5*OFFSET(D$113,MATCH($N$1,$C$113:$C$114,0)-1,0)</f>
        <v>47.5</v>
      </c>
      <c r="E33" s="86">
        <f ca="1">35.8*OFFSET(E$113,MATCH($N$1,$C$113:$C$114,0)-1,0)</f>
        <v>35.799999999999997</v>
      </c>
      <c r="F33" s="86">
        <f ca="1">45.4*OFFSET(F$113,MATCH($N$1,$C$113:$C$114,0)-1,0)</f>
        <v>45.4</v>
      </c>
      <c r="G33" s="86">
        <f ca="1">31.1*OFFSET(G$113,MATCH($N$1,$C$113:$C$114,0)-1,0)</f>
        <v>31.1</v>
      </c>
      <c r="H33" s="86">
        <f ca="1">53.3*OFFSET(H$113,MATCH($N$1,$C$113:$C$114,0)-1,0)</f>
        <v>53.3</v>
      </c>
      <c r="I33" s="86">
        <f ca="1">40*OFFSET(I$113,MATCH($N$1,$C$113:$C$114,0)-1,0)</f>
        <v>40</v>
      </c>
      <c r="J33" s="86">
        <f ca="1">37.5*OFFSET(J$113,MATCH($N$1,$C$113:$C$114,0)-1,0)</f>
        <v>37.5</v>
      </c>
      <c r="K33" s="86">
        <f ca="1">27.1*OFFSET(K$113,MATCH($N$1,$C$113:$C$114,0)-1,0)</f>
        <v>27.1</v>
      </c>
      <c r="L33" s="86">
        <f ca="1">15.2*OFFSET(L$113,MATCH($N$1,$C$113:$C$114,0)-1,0)</f>
        <v>15.2</v>
      </c>
      <c r="M33" s="86">
        <f ca="1">16.1*OFFSET(M$113,MATCH($N$1,$C$113:$C$114,0)-1,0)</f>
        <v>16.100000000000001</v>
      </c>
      <c r="N33" s="86">
        <v>20.7</v>
      </c>
      <c r="O33" s="84">
        <f t="shared" ca="1" si="0"/>
        <v>-0.5642105263157895</v>
      </c>
      <c r="P33" s="84">
        <f t="shared" ca="1" si="1"/>
        <v>-0.44800000000000001</v>
      </c>
    </row>
    <row r="34" spans="1:16" s="78" customFormat="1" ht="18" customHeight="1">
      <c r="A34" s="192"/>
      <c r="B34" s="85" t="s">
        <v>215</v>
      </c>
      <c r="C34" s="86"/>
      <c r="D34" s="86">
        <f ca="1">184.7*OFFSET(D$113,MATCH($N$1,$C$113:$C$114,0)-1,0)</f>
        <v>184.7</v>
      </c>
      <c r="E34" s="86">
        <f ca="1">144.3*OFFSET(E$113,MATCH($N$1,$C$113:$C$114,0)-1,0)</f>
        <v>144.30000000000001</v>
      </c>
      <c r="F34" s="86">
        <f ca="1">140.9*OFFSET(F$113,MATCH($N$1,$C$113:$C$114,0)-1,0)</f>
        <v>140.9</v>
      </c>
      <c r="G34" s="86">
        <f ca="1">101.1*OFFSET(G$113,MATCH($N$1,$C$113:$C$114,0)-1,0)</f>
        <v>101.1</v>
      </c>
      <c r="H34" s="86">
        <f ca="1">153.2*OFFSET(H$113,MATCH($N$1,$C$113:$C$114,0)-1,0)</f>
        <v>153.19999999999999</v>
      </c>
      <c r="I34" s="86">
        <f ca="1">142*OFFSET(I$113,MATCH($N$1,$C$113:$C$114,0)-1,0)</f>
        <v>142</v>
      </c>
      <c r="J34" s="86">
        <f ca="1">146.5*OFFSET(J$113,MATCH($N$1,$C$113:$C$114,0)-1,0)</f>
        <v>146.5</v>
      </c>
      <c r="K34" s="86">
        <f ca="1">150.3*OFFSET(K$113,MATCH($N$1,$C$113:$C$114,0)-1,0)</f>
        <v>150.30000000000001</v>
      </c>
      <c r="L34" s="86">
        <f ca="1">75.5*OFFSET(L$113,MATCH($N$1,$C$113:$C$114,0)-1,0)</f>
        <v>75.5</v>
      </c>
      <c r="M34" s="86">
        <f ca="1">95*OFFSET(M$113,MATCH($N$1,$C$113:$C$114,0)-1,0)</f>
        <v>95</v>
      </c>
      <c r="N34" s="86">
        <v>131.80000000000001</v>
      </c>
      <c r="O34" s="84">
        <f t="shared" ca="1" si="0"/>
        <v>-0.28641039523551692</v>
      </c>
      <c r="P34" s="84">
        <f t="shared" ca="1" si="1"/>
        <v>-0.10034129692832756</v>
      </c>
    </row>
    <row r="35" spans="1:16" s="78" customFormat="1" ht="18" customHeight="1">
      <c r="A35" s="192"/>
      <c r="B35" s="85" t="s">
        <v>216</v>
      </c>
      <c r="C35" s="86"/>
      <c r="D35" s="86">
        <f ca="1">51.9*OFFSET(D$113,MATCH($N$1,$C$113:$C$114,0)-1,0)</f>
        <v>51.9</v>
      </c>
      <c r="E35" s="86">
        <f ca="1">54*OFFSET(E$113,MATCH($N$1,$C$113:$C$114,0)-1,0)</f>
        <v>54</v>
      </c>
      <c r="F35" s="86">
        <f ca="1">58*OFFSET(F$113,MATCH($N$1,$C$113:$C$114,0)-1,0)</f>
        <v>58</v>
      </c>
      <c r="G35" s="86">
        <f ca="1">43.4*OFFSET(G$113,MATCH($N$1,$C$113:$C$114,0)-1,0)</f>
        <v>43.4</v>
      </c>
      <c r="H35" s="86">
        <f ca="1">50.9*OFFSET(H$113,MATCH($N$1,$C$113:$C$114,0)-1,0)</f>
        <v>50.9</v>
      </c>
      <c r="I35" s="86">
        <f ca="1">53.1*OFFSET(I$113,MATCH($N$1,$C$113:$C$114,0)-1,0)</f>
        <v>53.1</v>
      </c>
      <c r="J35" s="86">
        <f ca="1">51.4*OFFSET(J$113,MATCH($N$1,$C$113:$C$114,0)-1,0)</f>
        <v>51.4</v>
      </c>
      <c r="K35" s="86">
        <f ca="1">53.9*OFFSET(K$113,MATCH($N$1,$C$113:$C$114,0)-1,0)</f>
        <v>53.9</v>
      </c>
      <c r="L35" s="86">
        <f ca="1">32.7*OFFSET(L$113,MATCH($N$1,$C$113:$C$114,0)-1,0)</f>
        <v>32.700000000000003</v>
      </c>
      <c r="M35" s="86">
        <f ca="1">18.1*OFFSET(M$113,MATCH($N$1,$C$113:$C$114,0)-1,0)</f>
        <v>18.100000000000001</v>
      </c>
      <c r="N35" s="86">
        <v>23.3</v>
      </c>
      <c r="O35" s="84">
        <f t="shared" ca="1" si="0"/>
        <v>-0.55105973025048172</v>
      </c>
      <c r="P35" s="84">
        <f t="shared" ca="1" si="1"/>
        <v>-0.546692607003891</v>
      </c>
    </row>
    <row r="36" spans="1:16" s="78" customFormat="1" ht="18" customHeight="1">
      <c r="A36" s="192"/>
      <c r="B36" s="85" t="s">
        <v>217</v>
      </c>
      <c r="C36" s="86"/>
      <c r="D36" s="86">
        <f ca="1">236.6*OFFSET(D$113,MATCH($N$1,$C$113:$C$114,0)-1,0)</f>
        <v>236.6</v>
      </c>
      <c r="E36" s="86">
        <f ca="1">198.3*OFFSET(E$113,MATCH($N$1,$C$113:$C$114,0)-1,0)</f>
        <v>198.3</v>
      </c>
      <c r="F36" s="86">
        <f ca="1">198.9*OFFSET(F$113,MATCH($N$1,$C$113:$C$114,0)-1,0)</f>
        <v>198.9</v>
      </c>
      <c r="G36" s="86">
        <f ca="1">144.4*OFFSET(G$113,MATCH($N$1,$C$113:$C$114,0)-1,0)</f>
        <v>144.4</v>
      </c>
      <c r="H36" s="86">
        <f ca="1">204.1*OFFSET(H$113,MATCH($N$1,$C$113:$C$114,0)-1,0)</f>
        <v>204.1</v>
      </c>
      <c r="I36" s="86">
        <f ca="1">195.1*OFFSET(I$113,MATCH($N$1,$C$113:$C$114,0)-1,0)</f>
        <v>195.1</v>
      </c>
      <c r="J36" s="86">
        <f ca="1">197.9*OFFSET(J$113,MATCH($N$1,$C$113:$C$114,0)-1,0)</f>
        <v>197.9</v>
      </c>
      <c r="K36" s="86">
        <f ca="1">204.2*OFFSET(K$113,MATCH($N$1,$C$113:$C$114,0)-1,0)</f>
        <v>204.2</v>
      </c>
      <c r="L36" s="86">
        <f ca="1">108.2*OFFSET(L$113,MATCH($N$1,$C$113:$C$114,0)-1,0)</f>
        <v>108.2</v>
      </c>
      <c r="M36" s="86">
        <f ca="1">113.1*OFFSET(M$113,MATCH($N$1,$C$113:$C$114,0)-1,0)</f>
        <v>113.1</v>
      </c>
      <c r="N36" s="86">
        <v>155.1</v>
      </c>
      <c r="O36" s="84">
        <f t="shared" ca="1" si="0"/>
        <v>-0.34446322907861371</v>
      </c>
      <c r="P36" s="84">
        <f t="shared" ca="1" si="1"/>
        <v>-0.21627084386053569</v>
      </c>
    </row>
    <row r="37" spans="1:16" s="78" customFormat="1" ht="18" customHeight="1">
      <c r="A37" s="192"/>
      <c r="B37" s="87" t="s">
        <v>218</v>
      </c>
      <c r="C37" s="88"/>
      <c r="D37" s="88">
        <f ca="1">99.8*OFFSET(D$113,MATCH($N$1,$C$113:$C$114,0)-1,0)</f>
        <v>99.8</v>
      </c>
      <c r="E37" s="88">
        <f ca="1">61.2*OFFSET(E$113,MATCH($N$1,$C$113:$C$114,0)-1,0)</f>
        <v>61.2</v>
      </c>
      <c r="F37" s="88">
        <f ca="1">64.9*OFFSET(F$113,MATCH($N$1,$C$113:$C$114,0)-1,0)</f>
        <v>64.900000000000006</v>
      </c>
      <c r="G37" s="88">
        <f ca="1">46.4*OFFSET(G$113,MATCH($N$1,$C$113:$C$114,0)-1,0)</f>
        <v>46.4</v>
      </c>
      <c r="H37" s="88">
        <f ca="1">95.5*OFFSET(H$113,MATCH($N$1,$C$113:$C$114,0)-1,0)</f>
        <v>95.5</v>
      </c>
      <c r="I37" s="88">
        <f ca="1">91.7*OFFSET(I$113,MATCH($N$1,$C$113:$C$114,0)-1,0)</f>
        <v>91.7</v>
      </c>
      <c r="J37" s="88">
        <f ca="1">73.9*OFFSET(J$113,MATCH($N$1,$C$113:$C$114,0)-1,0)</f>
        <v>73.900000000000006</v>
      </c>
      <c r="K37" s="88">
        <f ca="1">83.8*OFFSET(K$113,MATCH($N$1,$C$113:$C$114,0)-1,0)</f>
        <v>83.8</v>
      </c>
      <c r="L37" s="88">
        <f ca="1">52.8*OFFSET(L$113,MATCH($N$1,$C$113:$C$114,0)-1,0)</f>
        <v>52.8</v>
      </c>
      <c r="M37" s="88">
        <f ca="1">62.4*OFFSET(M$113,MATCH($N$1,$C$113:$C$114,0)-1,0)</f>
        <v>62.4</v>
      </c>
      <c r="N37" s="88">
        <v>58.8</v>
      </c>
      <c r="O37" s="84">
        <f t="shared" ca="1" si="0"/>
        <v>-0.41082164328657317</v>
      </c>
      <c r="P37" s="84">
        <f t="shared" ca="1" si="1"/>
        <v>-0.20433017591339658</v>
      </c>
    </row>
    <row r="38" spans="1:16" s="78" customFormat="1" ht="18" customHeight="1">
      <c r="A38" s="192"/>
      <c r="B38" s="87" t="s">
        <v>219</v>
      </c>
      <c r="C38" s="88"/>
      <c r="D38" s="88">
        <f ca="1">35.6*OFFSET(D$113,MATCH($N$1,$C$113:$C$114,0)-1,0)</f>
        <v>35.6</v>
      </c>
      <c r="E38" s="88">
        <f ca="1">13.6*OFFSET(E$113,MATCH($N$1,$C$113:$C$114,0)-1,0)</f>
        <v>13.6</v>
      </c>
      <c r="F38" s="88">
        <f ca="1">24.7*OFFSET(F$113,MATCH($N$1,$C$113:$C$114,0)-1,0)</f>
        <v>24.7</v>
      </c>
      <c r="G38" s="88">
        <f ca="1">10.9*OFFSET(G$113,MATCH($N$1,$C$113:$C$114,0)-1,0)</f>
        <v>10.9</v>
      </c>
      <c r="H38" s="88">
        <f ca="1">37.2*OFFSET(H$113,MATCH($N$1,$C$113:$C$114,0)-1,0)</f>
        <v>37.200000000000003</v>
      </c>
      <c r="I38" s="88">
        <f ca="1">34.6*OFFSET(I$113,MATCH($N$1,$C$113:$C$114,0)-1,0)</f>
        <v>34.6</v>
      </c>
      <c r="J38" s="88">
        <f ca="1">18.2*OFFSET(J$113,MATCH($N$1,$C$113:$C$114,0)-1,0)</f>
        <v>18.2</v>
      </c>
      <c r="K38" s="88">
        <f ca="1">13.7*OFFSET(K$113,MATCH($N$1,$C$113:$C$114,0)-1,0)</f>
        <v>13.7</v>
      </c>
      <c r="L38" s="88">
        <f ca="1">21.5*OFFSET(L$113,MATCH($N$1,$C$113:$C$114,0)-1,0)</f>
        <v>21.5</v>
      </c>
      <c r="M38" s="88">
        <f ca="1">20.6*OFFSET(M$113,MATCH($N$1,$C$113:$C$114,0)-1,0)</f>
        <v>20.6</v>
      </c>
      <c r="N38" s="88">
        <v>17.3</v>
      </c>
      <c r="O38" s="84">
        <f t="shared" ca="1" si="0"/>
        <v>-0.5140449438202247</v>
      </c>
      <c r="P38" s="84">
        <f t="shared" ca="1" si="1"/>
        <v>-4.9450549450549372E-2</v>
      </c>
    </row>
    <row r="39" spans="1:16" s="78" customFormat="1" ht="18" customHeight="1">
      <c r="A39" s="192"/>
      <c r="B39" s="85" t="s">
        <v>220</v>
      </c>
      <c r="C39" s="86"/>
      <c r="D39" s="86">
        <f ca="1">12.4*OFFSET(D$113,MATCH($N$1,$C$113:$C$114,0)-1,0)</f>
        <v>12.4</v>
      </c>
      <c r="E39" s="86">
        <f ca="1">5.2*OFFSET(E$113,MATCH($N$1,$C$113:$C$114,0)-1,0)</f>
        <v>5.2</v>
      </c>
      <c r="F39" s="86">
        <f ca="1">9.1*OFFSET(F$113,MATCH($N$1,$C$113:$C$114,0)-1,0)</f>
        <v>9.1</v>
      </c>
      <c r="G39" s="86">
        <f ca="1">7.1*OFFSET(G$113,MATCH($N$1,$C$113:$C$114,0)-1,0)</f>
        <v>7.1</v>
      </c>
      <c r="H39" s="86">
        <f ca="1">7.3*OFFSET(H$113,MATCH($N$1,$C$113:$C$114,0)-1,0)</f>
        <v>7.3</v>
      </c>
      <c r="I39" s="86">
        <f ca="1">11.2*OFFSET(I$113,MATCH($N$1,$C$113:$C$114,0)-1,0)</f>
        <v>11.2</v>
      </c>
      <c r="J39" s="86">
        <f ca="1">6.1*OFFSET(J$113,MATCH($N$1,$C$113:$C$114,0)-1,0)</f>
        <v>6.1</v>
      </c>
      <c r="K39" s="86">
        <f ca="1">5.6*OFFSET(K$113,MATCH($N$1,$C$113:$C$114,0)-1,0)</f>
        <v>5.6</v>
      </c>
      <c r="L39" s="86">
        <f ca="1">5.2*OFFSET(L$113,MATCH($N$1,$C$113:$C$114,0)-1,0)</f>
        <v>5.2</v>
      </c>
      <c r="M39" s="86">
        <f ca="1">3.3*OFFSET(M$113,MATCH($N$1,$C$113:$C$114,0)-1,0)</f>
        <v>3.3</v>
      </c>
      <c r="N39" s="86"/>
      <c r="O39" s="84" t="str">
        <f t="shared" si="0"/>
        <v/>
      </c>
      <c r="P39" s="84" t="str">
        <f t="shared" si="1"/>
        <v/>
      </c>
    </row>
    <row r="40" spans="1:16" s="78" customFormat="1" ht="18" customHeight="1">
      <c r="A40" s="192"/>
      <c r="B40" s="85" t="s">
        <v>221</v>
      </c>
      <c r="C40" s="86"/>
      <c r="D40" s="86">
        <f ca="1">3.1*OFFSET(D$113,MATCH($N$1,$C$113:$C$114,0)-1,0)</f>
        <v>3.1</v>
      </c>
      <c r="E40" s="86">
        <f ca="1">1.7*OFFSET(E$113,MATCH($N$1,$C$113:$C$114,0)-1,0)</f>
        <v>1.7</v>
      </c>
      <c r="F40" s="86">
        <f ca="1">2.5*OFFSET(F$113,MATCH($N$1,$C$113:$C$114,0)-1,0)</f>
        <v>2.5</v>
      </c>
      <c r="G40" s="86">
        <f ca="1">2.3*OFFSET(G$113,MATCH($N$1,$C$113:$C$114,0)-1,0)</f>
        <v>2.2999999999999998</v>
      </c>
      <c r="H40" s="86">
        <f ca="1">1.5*OFFSET(H$113,MATCH($N$1,$C$113:$C$114,0)-1,0)</f>
        <v>1.5</v>
      </c>
      <c r="I40" s="86">
        <f ca="1">1.5*OFFSET(I$113,MATCH($N$1,$C$113:$C$114,0)-1,0)</f>
        <v>1.5</v>
      </c>
      <c r="J40" s="86">
        <f ca="1">0.6*OFFSET(J$113,MATCH($N$1,$C$113:$C$114,0)-1,0)</f>
        <v>0.6</v>
      </c>
      <c r="K40" s="86">
        <f ca="1">3.3*OFFSET(K$113,MATCH($N$1,$C$113:$C$114,0)-1,0)</f>
        <v>3.3</v>
      </c>
      <c r="L40" s="86">
        <f ca="1">2.1*OFFSET(L$113,MATCH($N$1,$C$113:$C$114,0)-1,0)</f>
        <v>2.1</v>
      </c>
      <c r="M40" s="86">
        <f ca="1">1.1*OFFSET(M$113,MATCH($N$1,$C$113:$C$114,0)-1,0)</f>
        <v>1.1000000000000001</v>
      </c>
      <c r="N40" s="86"/>
      <c r="O40" s="84" t="str">
        <f t="shared" si="0"/>
        <v/>
      </c>
      <c r="P40" s="84" t="str">
        <f t="shared" si="1"/>
        <v/>
      </c>
    </row>
    <row r="41" spans="1:16" s="78" customFormat="1" ht="18" customHeight="1">
      <c r="A41" s="192"/>
      <c r="B41" s="85" t="s">
        <v>222</v>
      </c>
      <c r="C41" s="86"/>
      <c r="D41" s="86">
        <f ca="1">0.4*OFFSET(D$113,MATCH($N$1,$C$113:$C$114,0)-1,0)</f>
        <v>0.4</v>
      </c>
      <c r="E41" s="86">
        <f ca="1">4.7*OFFSET(E$113,MATCH($N$1,$C$113:$C$114,0)-1,0)</f>
        <v>4.7</v>
      </c>
      <c r="F41" s="86">
        <f ca="1">2.1*OFFSET(F$113,MATCH($N$1,$C$113:$C$114,0)-1,0)</f>
        <v>2.1</v>
      </c>
      <c r="G41" s="86">
        <f ca="1">2.2*OFFSET(G$113,MATCH($N$1,$C$113:$C$114,0)-1,0)</f>
        <v>2.2000000000000002</v>
      </c>
      <c r="H41" s="86">
        <f ca="1">1.5*OFFSET(H$113,MATCH($N$1,$C$113:$C$114,0)-1,0)</f>
        <v>1.5</v>
      </c>
      <c r="I41" s="86">
        <f ca="1">1*OFFSET(I$113,MATCH($N$1,$C$113:$C$114,0)-1,0)</f>
        <v>1</v>
      </c>
      <c r="J41" s="86">
        <f ca="1">0.6*OFFSET(J$113,MATCH($N$1,$C$113:$C$114,0)-1,0)</f>
        <v>0.6</v>
      </c>
      <c r="K41" s="86">
        <f ca="1">0.5*OFFSET(K$113,MATCH($N$1,$C$113:$C$114,0)-1,0)</f>
        <v>0.5</v>
      </c>
      <c r="L41" s="86">
        <f ca="1">0.7*OFFSET(L$113,MATCH($N$1,$C$113:$C$114,0)-1,0)</f>
        <v>0.7</v>
      </c>
      <c r="M41" s="86">
        <f ca="1">0.3*OFFSET(M$113,MATCH($N$1,$C$113:$C$114,0)-1,0)</f>
        <v>0.3</v>
      </c>
      <c r="N41" s="86"/>
      <c r="O41" s="84" t="str">
        <f t="shared" si="0"/>
        <v/>
      </c>
      <c r="P41" s="84" t="str">
        <f t="shared" si="1"/>
        <v/>
      </c>
    </row>
    <row r="42" spans="1:16" s="78" customFormat="1" ht="18" customHeight="1" thickBot="1">
      <c r="A42" s="193"/>
      <c r="B42" s="89" t="s">
        <v>223</v>
      </c>
      <c r="C42" s="90"/>
      <c r="D42" s="90">
        <f ca="1">19.7*OFFSET(D$113,MATCH($N$1,$C$113:$C$114,0)-1,0)</f>
        <v>19.7</v>
      </c>
      <c r="E42" s="90">
        <f ca="1">2.1*OFFSET(E$113,MATCH($N$1,$C$113:$C$114,0)-1,0)</f>
        <v>2.1</v>
      </c>
      <c r="F42" s="90">
        <f ca="1">11*OFFSET(F$113,MATCH($N$1,$C$113:$C$114,0)-1,0)</f>
        <v>11</v>
      </c>
      <c r="G42" s="90">
        <f ca="1">-0.7*OFFSET(G$113,MATCH($N$1,$C$113:$C$114,0)-1,0)</f>
        <v>-0.7</v>
      </c>
      <c r="H42" s="90">
        <f ca="1">26.8*OFFSET(H$113,MATCH($N$1,$C$113:$C$114,0)-1,0)</f>
        <v>26.8</v>
      </c>
      <c r="I42" s="90">
        <f ca="1">20.9*OFFSET(I$113,MATCH($N$1,$C$113:$C$114,0)-1,0)</f>
        <v>20.9</v>
      </c>
      <c r="J42" s="90">
        <f ca="1">10.9*OFFSET(J$113,MATCH($N$1,$C$113:$C$114,0)-1,0)</f>
        <v>10.9</v>
      </c>
      <c r="K42" s="90">
        <f ca="1">4.3*OFFSET(K$113,MATCH($N$1,$C$113:$C$114,0)-1,0)</f>
        <v>4.3</v>
      </c>
      <c r="L42" s="90">
        <f ca="1">13.5*OFFSET(L$113,MATCH($N$1,$C$113:$C$114,0)-1,0)</f>
        <v>13.5</v>
      </c>
      <c r="M42" s="90">
        <f ca="1">15.9*OFFSET(M$113,MATCH($N$1,$C$113:$C$114,0)-1,0)</f>
        <v>15.9</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158</v>
      </c>
      <c r="G47" s="99" t="s">
        <v>158</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North Sea nephrops under 300kW</v>
      </c>
      <c r="C49" s="101"/>
      <c r="D49" s="101"/>
      <c r="E49" s="101"/>
      <c r="F49" s="101"/>
      <c r="G49" s="101"/>
      <c r="K49" s="101" t="str">
        <f>$B25&amp;CHAR(10)&amp;$A$1</f>
        <v>Operating profit per kW day at sea (£)
North Sea nephrops under 300kW</v>
      </c>
    </row>
    <row r="50" spans="1:11" s="78" customFormat="1">
      <c r="A50" s="101" t="str">
        <f>$B23&amp;CHAR(10)&amp;$A$1</f>
        <v>Fishing income per kW day at sea (£)
North Sea nephrops under 300kW</v>
      </c>
    </row>
    <row r="51" spans="1:11" s="78" customFormat="1">
      <c r="A51" s="101" t="str">
        <f>$B21&amp;CHAR(10)&amp;$A$1</f>
        <v>Average price per tonne landed (£)
North Sea nephrops under 300kW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North Sea nephrops under 300kW</v>
      </c>
      <c r="F63" s="101" t="str">
        <f>$B21&amp;CHAR(10)&amp;$A$1</f>
        <v>Average price per tonne landed (£)
North Sea nephrops under 300kW</v>
      </c>
      <c r="K63" s="101" t="str">
        <f>"Average annual operating profit per vessel (£'000)"&amp;CHAR(10)&amp;$A$1</f>
        <v>Average annual operating profit per vessel (£'000)
North Sea nephrops under 300kW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North Sea nephrops under 300kW</v>
      </c>
      <c r="F77" s="101" t="str">
        <f>"Top 5 landed species by value in "&amp;A78&amp;CHAR(10)&amp;A1</f>
        <v>Top 5 landed species by value in 2021
North Sea nephrops under 300kW</v>
      </c>
    </row>
    <row r="78" spans="1:11" s="101" customFormat="1">
      <c r="A78" s="101">
        <v>2021</v>
      </c>
      <c r="B78" s="101" t="s">
        <v>436</v>
      </c>
      <c r="C78" s="102">
        <v>0.8462930747693298</v>
      </c>
      <c r="D78" s="103">
        <v>12153634</v>
      </c>
      <c r="G78" s="101" t="s">
        <v>437</v>
      </c>
      <c r="H78" s="102">
        <v>0.85836514945373144</v>
      </c>
      <c r="I78" s="103">
        <v>12153634</v>
      </c>
      <c r="K78" s="101" t="s">
        <v>237</v>
      </c>
    </row>
    <row r="79" spans="1:11" s="101" customFormat="1">
      <c r="B79" s="101" t="s">
        <v>438</v>
      </c>
      <c r="C79" s="102">
        <v>3.3601257963988294E-2</v>
      </c>
      <c r="D79" s="103">
        <v>553960</v>
      </c>
      <c r="G79" s="101" t="s">
        <v>439</v>
      </c>
      <c r="H79" s="102">
        <v>3.628031733659514E-2</v>
      </c>
      <c r="I79" s="103">
        <v>553960</v>
      </c>
    </row>
    <row r="80" spans="1:11" s="101" customFormat="1">
      <c r="B80" s="101" t="s">
        <v>440</v>
      </c>
      <c r="C80" s="102">
        <v>3.0208740561448812E-2</v>
      </c>
      <c r="D80" s="103">
        <v>1692097</v>
      </c>
      <c r="G80" s="101" t="s">
        <v>441</v>
      </c>
      <c r="H80" s="102">
        <v>1.2916968165677159E-2</v>
      </c>
      <c r="I80" s="103">
        <v>3050596</v>
      </c>
    </row>
    <row r="81" spans="1:19" s="101" customFormat="1">
      <c r="B81" s="101" t="s">
        <v>442</v>
      </c>
      <c r="C81" s="102">
        <v>2.5929433174428203E-2</v>
      </c>
      <c r="D81" s="103">
        <v>3689192</v>
      </c>
      <c r="G81" s="101" t="s">
        <v>443</v>
      </c>
      <c r="H81" s="102">
        <v>1.1355865963513685E-2</v>
      </c>
      <c r="I81" s="103">
        <v>1692097</v>
      </c>
    </row>
    <row r="82" spans="1:19" s="101" customFormat="1">
      <c r="B82" s="101" t="s">
        <v>444</v>
      </c>
      <c r="C82" s="102">
        <v>1.1377557557404553E-2</v>
      </c>
      <c r="D82" s="103">
        <v>3050596</v>
      </c>
      <c r="G82" s="101" t="s">
        <v>445</v>
      </c>
      <c r="H82" s="102">
        <v>1.056503495677133E-2</v>
      </c>
      <c r="I82" s="103">
        <v>3689192</v>
      </c>
    </row>
    <row r="83" spans="1:19" s="101" customFormat="1">
      <c r="B83" s="101" t="s">
        <v>446</v>
      </c>
      <c r="C83" s="102">
        <v>5.2589935973400337E-2</v>
      </c>
      <c r="D83" s="103">
        <v>5920853</v>
      </c>
      <c r="G83" s="101" t="s">
        <v>447</v>
      </c>
      <c r="H83" s="102">
        <v>7.0516664123711381E-2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0.86746253934379847</v>
      </c>
      <c r="E93" s="107">
        <v>0.84242194081927868</v>
      </c>
      <c r="F93" s="107">
        <v>0.87395733269264164</v>
      </c>
      <c r="G93" s="107">
        <v>0.81266456592736169</v>
      </c>
      <c r="H93" s="107">
        <v>0.80568847784137432</v>
      </c>
      <c r="I93" s="107">
        <v>0.84907205540570596</v>
      </c>
      <c r="J93" s="107">
        <v>0.87214342376848364</v>
      </c>
      <c r="K93" s="107">
        <v>0.85203632603766177</v>
      </c>
      <c r="L93" s="107">
        <v>0.85836514945373144</v>
      </c>
      <c r="M93" s="107">
        <v>0.92601954368681272</v>
      </c>
      <c r="O93" s="101">
        <v>12153634</v>
      </c>
    </row>
    <row r="94" spans="1:19" s="101" customFormat="1" hidden="1">
      <c r="B94" s="101">
        <v>2</v>
      </c>
      <c r="C94" s="101" t="s">
        <v>161</v>
      </c>
      <c r="D94" s="107">
        <v>1.9045899694926212E-2</v>
      </c>
      <c r="E94" s="107">
        <v>2.3814822468433239E-2</v>
      </c>
      <c r="F94" s="107">
        <v>3.2214785011503863E-2</v>
      </c>
      <c r="G94" s="107">
        <v>3.7510052948812475E-2</v>
      </c>
      <c r="H94" s="107">
        <v>2.8890219027986101E-2</v>
      </c>
      <c r="I94" s="107">
        <v>2.4434976943989287E-2</v>
      </c>
      <c r="J94" s="107">
        <v>1.7345722915582552E-2</v>
      </c>
      <c r="K94" s="107">
        <v>3.7891045357731676E-2</v>
      </c>
      <c r="L94" s="107">
        <v>3.628031733659514E-2</v>
      </c>
      <c r="M94" s="107">
        <v>1.6893481475908186E-2</v>
      </c>
      <c r="O94" s="101">
        <v>553960</v>
      </c>
    </row>
    <row r="95" spans="1:19" s="101" customFormat="1" hidden="1">
      <c r="B95" s="101">
        <v>3</v>
      </c>
      <c r="C95" s="101" t="s">
        <v>168</v>
      </c>
      <c r="D95" s="107"/>
      <c r="E95" s="107"/>
      <c r="F95" s="107"/>
      <c r="G95" s="107"/>
      <c r="H95" s="107"/>
      <c r="I95" s="107"/>
      <c r="J95" s="107"/>
      <c r="K95" s="107">
        <v>1.3677016847553309E-2</v>
      </c>
      <c r="L95" s="107">
        <v>1.2916968165677159E-2</v>
      </c>
      <c r="M95" s="107">
        <v>7.5414574040248211E-3</v>
      </c>
      <c r="O95" s="101">
        <v>3050596</v>
      </c>
    </row>
    <row r="96" spans="1:19" s="101" customFormat="1" hidden="1">
      <c r="B96" s="101">
        <v>4</v>
      </c>
      <c r="C96" s="101" t="s">
        <v>156</v>
      </c>
      <c r="D96" s="107">
        <v>2.3075835593973661E-2</v>
      </c>
      <c r="E96" s="107">
        <v>4.4402761661023596E-2</v>
      </c>
      <c r="F96" s="107">
        <v>1.1199211404180936E-2</v>
      </c>
      <c r="G96" s="107">
        <v>3.0216558002161765E-2</v>
      </c>
      <c r="H96" s="107">
        <v>2.8401379329788954E-2</v>
      </c>
      <c r="I96" s="107">
        <v>2.453333940729438E-2</v>
      </c>
      <c r="J96" s="107">
        <v>1.6318600818924042E-2</v>
      </c>
      <c r="K96" s="107">
        <v>2.104001012962247E-2</v>
      </c>
      <c r="L96" s="107">
        <v>1.1355865963513685E-2</v>
      </c>
      <c r="M96" s="107">
        <v>8.6591113522291579E-3</v>
      </c>
      <c r="O96" s="101">
        <v>1692097</v>
      </c>
    </row>
    <row r="97" spans="1:15" s="101" customFormat="1" hidden="1">
      <c r="B97" s="101">
        <v>5</v>
      </c>
      <c r="C97" s="101" t="s">
        <v>172</v>
      </c>
      <c r="D97" s="107">
        <v>2.3011969737738051E-2</v>
      </c>
      <c r="E97" s="107">
        <v>2.0842069134997244E-2</v>
      </c>
      <c r="F97" s="107">
        <v>2.0350078598338549E-2</v>
      </c>
      <c r="G97" s="107">
        <v>1.9330306327689461E-2</v>
      </c>
      <c r="H97" s="107"/>
      <c r="I97" s="107"/>
      <c r="J97" s="107"/>
      <c r="K97" s="107"/>
      <c r="L97" s="107">
        <v>1.056503495677133E-2</v>
      </c>
      <c r="M97" s="107"/>
      <c r="O97" s="101">
        <v>3689192</v>
      </c>
    </row>
    <row r="98" spans="1:15" s="101" customFormat="1" hidden="1">
      <c r="B98" s="101">
        <v>6</v>
      </c>
      <c r="C98" s="101" t="s">
        <v>181</v>
      </c>
      <c r="D98" s="107">
        <v>1.6965028622457728E-2</v>
      </c>
      <c r="E98" s="107">
        <v>2.4365318977610517E-2</v>
      </c>
      <c r="F98" s="107">
        <v>1.8420947575077187E-2</v>
      </c>
      <c r="G98" s="107">
        <v>4.4863083594433271E-2</v>
      </c>
      <c r="H98" s="107">
        <v>2.615691440173034E-2</v>
      </c>
      <c r="I98" s="107">
        <v>2.4877213574446874E-2</v>
      </c>
      <c r="J98" s="107">
        <v>1.8849319636220087E-2</v>
      </c>
      <c r="K98" s="107">
        <v>2.3655039947749836E-2</v>
      </c>
      <c r="L98" s="107"/>
      <c r="M98" s="107">
        <v>7.9192212129556242E-3</v>
      </c>
      <c r="O98" s="101">
        <v>11115023</v>
      </c>
    </row>
    <row r="99" spans="1:15" s="101" customFormat="1" hidden="1">
      <c r="B99" s="101">
        <v>7</v>
      </c>
      <c r="C99" s="101" t="s">
        <v>448</v>
      </c>
      <c r="D99" s="107"/>
      <c r="E99" s="107"/>
      <c r="F99" s="107"/>
      <c r="G99" s="107"/>
      <c r="H99" s="107"/>
      <c r="I99" s="107"/>
      <c r="J99" s="107">
        <v>1.6179305055900324E-2</v>
      </c>
      <c r="K99" s="107"/>
      <c r="L99" s="107"/>
      <c r="M99" s="107"/>
      <c r="O99" s="101">
        <v>2480382</v>
      </c>
    </row>
    <row r="100" spans="1:15" s="101" customFormat="1" hidden="1">
      <c r="B100" s="101">
        <v>8</v>
      </c>
      <c r="C100" s="101" t="s">
        <v>181</v>
      </c>
      <c r="D100" s="107"/>
      <c r="E100" s="107"/>
      <c r="F100" s="107"/>
      <c r="G100" s="107"/>
      <c r="H100" s="107">
        <v>3.5272462751545899E-2</v>
      </c>
      <c r="I100" s="107">
        <v>2.450219798189587E-2</v>
      </c>
      <c r="J100" s="107"/>
      <c r="K100" s="107"/>
      <c r="L100" s="107"/>
      <c r="M100" s="107"/>
      <c r="O100" s="101">
        <v>7434864</v>
      </c>
    </row>
    <row r="101" spans="1:15" s="101" customFormat="1" hidden="1">
      <c r="B101" s="101">
        <v>9</v>
      </c>
      <c r="C101" s="101" t="s">
        <v>251</v>
      </c>
      <c r="D101" s="107">
        <v>5.0438727007105895E-2</v>
      </c>
      <c r="E101" s="107">
        <v>4.4153086938656765E-2</v>
      </c>
      <c r="F101" s="107">
        <v>4.3857644718257843E-2</v>
      </c>
      <c r="G101" s="107">
        <v>5.5415433199541377E-2</v>
      </c>
      <c r="H101" s="107">
        <v>7.5590546647574336E-2</v>
      </c>
      <c r="I101" s="107">
        <v>5.2580216686667645E-2</v>
      </c>
      <c r="J101" s="107">
        <v>5.916362780488936E-2</v>
      </c>
      <c r="K101" s="107">
        <v>5.1700561679680943E-2</v>
      </c>
      <c r="L101" s="107">
        <v>7.0516664123711256E-2</v>
      </c>
      <c r="M101" s="107">
        <v>3.2967184868069474E-2</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16</v>
      </c>
      <c r="D121" s="52">
        <v>30</v>
      </c>
      <c r="E121" s="52">
        <v>16</v>
      </c>
      <c r="F121" s="53">
        <v>62</v>
      </c>
    </row>
    <row r="122" spans="1:15" ht="18" customHeight="1">
      <c r="A122" s="186" t="s">
        <v>198</v>
      </c>
      <c r="B122" s="35" t="s">
        <v>199</v>
      </c>
      <c r="C122" s="54">
        <v>12.483750343322754</v>
      </c>
      <c r="D122" s="54">
        <v>14.129666805267334</v>
      </c>
      <c r="E122" s="54">
        <v>14.676249504089355</v>
      </c>
      <c r="F122" s="55">
        <v>13.845967292785645</v>
      </c>
    </row>
    <row r="123" spans="1:15" ht="18" customHeight="1">
      <c r="A123" s="187"/>
      <c r="B123" s="37" t="s">
        <v>190</v>
      </c>
      <c r="C123" s="56">
        <v>154.3125</v>
      </c>
      <c r="D123" s="56">
        <v>183.76667022705078</v>
      </c>
      <c r="E123" s="56">
        <v>194.8125</v>
      </c>
      <c r="F123" s="57">
        <v>179.01612854003906</v>
      </c>
    </row>
    <row r="124" spans="1:15" ht="18" customHeight="1">
      <c r="A124" s="187"/>
      <c r="B124" s="37" t="s">
        <v>191</v>
      </c>
      <c r="C124" s="56">
        <v>29.375</v>
      </c>
      <c r="D124" s="56">
        <v>39.133333206176758</v>
      </c>
      <c r="E124" s="56">
        <v>39.6875</v>
      </c>
      <c r="F124" s="57">
        <v>36.758064270019531</v>
      </c>
    </row>
    <row r="125" spans="1:15" ht="18" customHeight="1">
      <c r="A125" s="187"/>
      <c r="B125" s="37" t="s">
        <v>192</v>
      </c>
      <c r="C125" s="56">
        <v>129.44610595703125</v>
      </c>
      <c r="D125" s="56">
        <v>154.62405395507813</v>
      </c>
      <c r="E125" s="56">
        <v>165.37809753417969</v>
      </c>
      <c r="F125" s="57">
        <v>150.90176391601563</v>
      </c>
    </row>
    <row r="126" spans="1:15" ht="18" customHeight="1">
      <c r="A126" s="187"/>
      <c r="B126" s="37" t="s">
        <v>193</v>
      </c>
      <c r="C126" s="33">
        <v>65.50018310546875</v>
      </c>
      <c r="D126" s="33">
        <v>55.240196228027344</v>
      </c>
      <c r="E126" s="33">
        <v>43.058620452880859</v>
      </c>
      <c r="F126" s="58">
        <v>54.744300842285156</v>
      </c>
    </row>
    <row r="127" spans="1:15" ht="18" customHeight="1">
      <c r="A127" s="187"/>
      <c r="B127" s="37" t="s">
        <v>200</v>
      </c>
      <c r="C127" s="33">
        <f ca="1">168.52059375*OFFSET($L$113,MATCH($N$1,$C$113:$C$114,0)-1,0)</f>
        <v>168.52059374999999</v>
      </c>
      <c r="D127" s="33">
        <f ca="1">119.57677734375*OFFSET($L$113,MATCH($N$1,$C$113:$C$114,0)-1,0)</f>
        <v>119.57677734375</v>
      </c>
      <c r="E127" s="33">
        <f ca="1">95.0050546875*OFFSET($L$113,MATCH($N$1,$C$113:$C$114,0)-1,0)</f>
        <v>95.005054687500007</v>
      </c>
      <c r="F127" s="58">
        <f ca="1">125.8663515625*OFFSET($L$113,MATCH($N$1,$C$113:$C$114,0)-1,0)</f>
        <v>125.8663515625</v>
      </c>
    </row>
    <row r="128" spans="1:15" ht="18" customHeight="1">
      <c r="A128" s="187"/>
      <c r="B128" s="37" t="s">
        <v>195</v>
      </c>
      <c r="C128" s="56">
        <v>100.8125</v>
      </c>
      <c r="D128" s="56">
        <v>96.299999237060547</v>
      </c>
      <c r="E128" s="56">
        <v>108.0625</v>
      </c>
      <c r="F128" s="57">
        <v>100.5</v>
      </c>
    </row>
    <row r="129" spans="1:15" ht="18" customHeight="1">
      <c r="A129" s="187"/>
      <c r="B129" s="37" t="s">
        <v>201</v>
      </c>
      <c r="C129" s="56">
        <v>37.25</v>
      </c>
      <c r="D129" s="56">
        <v>41.066665649414063</v>
      </c>
      <c r="E129" s="56">
        <v>38.3125</v>
      </c>
      <c r="F129" s="57">
        <v>39.370967864990234</v>
      </c>
    </row>
    <row r="130" spans="1:15" ht="18" customHeight="1">
      <c r="A130" s="187"/>
      <c r="B130" s="37" t="s">
        <v>202</v>
      </c>
      <c r="C130" s="59">
        <v>0.64972281455993652</v>
      </c>
      <c r="D130" s="59">
        <v>0.57362613359988945</v>
      </c>
      <c r="E130" s="59">
        <v>0.39846032857894897</v>
      </c>
      <c r="F130" s="60">
        <v>0.544719398021698</v>
      </c>
    </row>
    <row r="131" spans="1:15" ht="18" customHeight="1">
      <c r="A131" s="188"/>
      <c r="B131" s="39" t="s">
        <v>203</v>
      </c>
      <c r="C131" s="40">
        <f ca="1">2572.8263000219*OFFSET($L$113,MATCH($N$1,$C$113:$C$114,0)-1,0)</f>
        <v>2572.8263000218999</v>
      </c>
      <c r="D131" s="40">
        <f ca="1">2164.66967007405*OFFSET($L$113,MATCH($N$1,$C$113:$C$114,0)-1,0)</f>
        <v>2164.6696700740499</v>
      </c>
      <c r="E131" s="40">
        <f ca="1">2206.41194929745*OFFSET($L$113,MATCH($N$1,$C$113:$C$114,0)-1,0)</f>
        <v>2206.4119492974501</v>
      </c>
      <c r="F131" s="61">
        <f ca="1">2299*OFFSET($L$113,MATCH($N$1,$C$113:$C$114,0)-1,0)</f>
        <v>2299</v>
      </c>
    </row>
    <row r="132" spans="1:15" ht="18" customHeight="1">
      <c r="A132" s="198" t="s">
        <v>204</v>
      </c>
      <c r="B132" s="35" t="s">
        <v>205</v>
      </c>
      <c r="C132" s="62">
        <v>3.7624592689343079</v>
      </c>
      <c r="D132" s="62">
        <v>3.0036756069257162</v>
      </c>
      <c r="E132" s="62">
        <v>2.0130374980162746</v>
      </c>
      <c r="F132" s="63">
        <v>2.8947798306090391</v>
      </c>
    </row>
    <row r="133" spans="1:15" ht="18" customHeight="1">
      <c r="A133" s="199"/>
      <c r="B133" s="37" t="s">
        <v>206</v>
      </c>
      <c r="C133" s="59">
        <f ca="1">9.68015415987535*OFFSET($L$113,MATCH($N$1,$C$113:$C$114,0)-1,0)</f>
        <v>9.6801541598753502</v>
      </c>
      <c r="D133" s="59">
        <f ca="1">6.50196548505338*OFFSET($L$113,MATCH($N$1,$C$113:$C$114,0)-1,0)</f>
        <v>6.5019654850533799</v>
      </c>
      <c r="E133" s="59">
        <f ca="1">4.44158999000695*OFFSET($L$113,MATCH($N$1,$C$113:$C$114,0)-1,0)</f>
        <v>4.4415899900069498</v>
      </c>
      <c r="F133" s="60">
        <f ca="1">6.65558551757116*OFFSET($L$113,MATCH($N$1,$C$113:$C$114,0)-1,0)</f>
        <v>6.6555855175711596</v>
      </c>
    </row>
    <row r="134" spans="1:15" ht="18" customHeight="1">
      <c r="A134" s="199"/>
      <c r="B134" s="37" t="s">
        <v>153</v>
      </c>
      <c r="C134" s="59">
        <f ca="1">6.80442985258956*OFFSET($L$113,MATCH($N$1,$C$113:$C$114,0)-1,0)</f>
        <v>6.8044298525895597</v>
      </c>
      <c r="D134" s="59">
        <f ca="1">5.46284296292418*OFFSET($L$113,MATCH($N$1,$C$113:$C$114,0)-1,0)</f>
        <v>5.4628429629241797</v>
      </c>
      <c r="E134" s="59">
        <f ca="1">4.73133531161063*OFFSET($L$113,MATCH($N$1,$C$113:$C$114,0)-1,0)</f>
        <v>4.7313353116106303</v>
      </c>
      <c r="F134" s="60">
        <f ca="1">5.56803523422872*OFFSET($L$113,MATCH($N$1,$C$113:$C$114,0)-1,0)</f>
        <v>5.56803523422872</v>
      </c>
    </row>
    <row r="135" spans="1:15" ht="18" customHeight="1">
      <c r="A135" s="200"/>
      <c r="B135" s="39" t="s">
        <v>154</v>
      </c>
      <c r="C135" s="64">
        <f ca="1">2.8757243072858*OFFSET($L$113,MATCH($N$1,$C$113:$C$114,0)-1,0)</f>
        <v>2.8757243072857999</v>
      </c>
      <c r="D135" s="64">
        <f ca="1">1.0391225221292*OFFSET($L$113,MATCH($N$1,$C$113:$C$114,0)-1,0)</f>
        <v>1.0391225221292</v>
      </c>
      <c r="E135" s="64">
        <f ca="1">-0.289745321603679*OFFSET($L$113,MATCH($N$1,$C$113:$C$114,0)-1,0)</f>
        <v>-0.289745321603679</v>
      </c>
      <c r="F135" s="65">
        <f ca="1">1.08755028334244*OFFSET($L$113,MATCH($N$1,$C$113:$C$114,0)-1,0)</f>
        <v>1.08755028334244</v>
      </c>
    </row>
    <row r="136" spans="1:15" ht="18" customHeight="1">
      <c r="A136" s="201" t="s">
        <v>260</v>
      </c>
      <c r="B136" s="37" t="s">
        <v>261</v>
      </c>
      <c r="C136" s="66">
        <f ca="1">27.1949453125*OFFSET($L$113,MATCH($N$1,$C$113:$C$114,0)-1,0)</f>
        <v>27.1949453125</v>
      </c>
      <c r="D136" s="66">
        <f ca="1">35.70946484375*OFFSET($L$113,MATCH($N$1,$C$113:$C$114,0)-1,0)</f>
        <v>35.709464843749998</v>
      </c>
      <c r="E136" s="66">
        <f ca="1">49.75257421875*OFFSET($L$113,MATCH($N$1,$C$113:$C$114,0)-1,0)</f>
        <v>49.752574218749999</v>
      </c>
      <c r="F136" s="67">
        <f ca="1">37.13619921875*OFFSET($L$113,MATCH($N$1,$C$113:$C$114,0)-1,0)</f>
        <v>37.136199218750001</v>
      </c>
    </row>
    <row r="137" spans="1:15" ht="18" customHeight="1">
      <c r="A137" s="202"/>
      <c r="B137" s="37" t="s">
        <v>262</v>
      </c>
      <c r="C137" s="31">
        <v>57049.999263763428</v>
      </c>
      <c r="D137" s="31">
        <v>74576.665098787518</v>
      </c>
      <c r="E137" s="31">
        <v>104800.00052261353</v>
      </c>
      <c r="F137" s="68">
        <v>77853.225806451606</v>
      </c>
    </row>
    <row r="138" spans="1:15" ht="18" customHeight="1">
      <c r="A138" s="202"/>
      <c r="B138" s="37" t="s">
        <v>263</v>
      </c>
      <c r="C138" s="31">
        <v>565.90203857421875</v>
      </c>
      <c r="D138" s="31">
        <v>774.42020446130061</v>
      </c>
      <c r="E138" s="31">
        <v>969.80914306640625</v>
      </c>
      <c r="F138" s="68">
        <v>774.658935546875</v>
      </c>
    </row>
    <row r="139" spans="1:15" ht="18" customHeight="1">
      <c r="A139" s="202"/>
      <c r="B139" s="37" t="s">
        <v>264</v>
      </c>
      <c r="C139" s="31">
        <f ca="1">269.757672039678*OFFSET($L$113,MATCH($N$1,$C$113:$C$114,0)-1,0)</f>
        <v>269.75767203967803</v>
      </c>
      <c r="D139" s="31">
        <f ca="1">370.814798823045*OFFSET($L$113,MATCH($N$1,$C$113:$C$114,0)-1,0)</f>
        <v>370.81479882304501</v>
      </c>
      <c r="E139" s="31">
        <f ca="1">460.405545112782*OFFSET($L$113,MATCH($N$1,$C$113:$C$114,0)-1,0)</f>
        <v>460.40554511278202</v>
      </c>
      <c r="F139" s="68">
        <f ca="1">369.514420087065*OFFSET($L$113,MATCH($N$1,$C$113:$C$114,0)-1,0)</f>
        <v>369.51442008706499</v>
      </c>
      <c r="I139" s="43"/>
      <c r="L139" s="69" t="str">
        <f>C120</f>
        <v>Most
profitable
quartile</v>
      </c>
      <c r="M139" s="69" t="str">
        <f>D120</f>
        <v>Middle
two quartiles</v>
      </c>
      <c r="N139" s="69" t="str">
        <f>E120</f>
        <v>Least
profitable
quartile</v>
      </c>
      <c r="O139" s="69"/>
    </row>
    <row r="140" spans="1:15" ht="18" customHeight="1">
      <c r="A140" s="202"/>
      <c r="B140" s="37" t="s">
        <v>265</v>
      </c>
      <c r="C140" s="31">
        <f ca="1">415.188844109192*OFFSET($L$113,MATCH($N$1,$C$113:$C$114,0)-1,0)</f>
        <v>415.18884410919202</v>
      </c>
      <c r="D140" s="31">
        <f ca="1">646.439862312292*OFFSET($L$113,MATCH($N$1,$C$113:$C$114,0)-1,0)</f>
        <v>646.43986231229201</v>
      </c>
      <c r="E140" s="31">
        <f ca="1">1155.46140808655*OFFSET($L$113,MATCH($N$1,$C$113:$C$114,0)-1,0)</f>
        <v>1155.4614080865499</v>
      </c>
      <c r="F140" s="68">
        <f ca="1">678.357356791112*OFFSET($L$113,MATCH($N$1,$C$113:$C$114,0)-1,0)</f>
        <v>678.35735679111201</v>
      </c>
      <c r="I140" s="43"/>
      <c r="K140" s="69" t="s">
        <v>266</v>
      </c>
      <c r="L140" s="70">
        <f t="shared" ref="L140:M142" ca="1" si="2">C141</f>
        <v>178.96648437499999</v>
      </c>
      <c r="M140" s="70">
        <f t="shared" ca="1" si="2"/>
        <v>126.98884375</v>
      </c>
      <c r="N140" s="70">
        <f ca="1">E141</f>
        <v>100.89403125</v>
      </c>
      <c r="O140" s="70"/>
    </row>
    <row r="141" spans="1:15" ht="18" customHeight="1">
      <c r="A141" s="179" t="s">
        <v>267</v>
      </c>
      <c r="B141" s="35" t="s">
        <v>268</v>
      </c>
      <c r="C141" s="71">
        <f ca="1">178.966484375*OFFSET($L$113,MATCH($N$1,$C$113:$C$114,0)-1,0)</f>
        <v>178.96648437499999</v>
      </c>
      <c r="D141" s="71">
        <f ca="1">126.98884375*OFFSET($L$113,MATCH($N$1,$C$113:$C$114,0)-1,0)</f>
        <v>126.98884375</v>
      </c>
      <c r="E141" s="71">
        <f ca="1">100.89403125*OFFSET($L$113,MATCH($N$1,$C$113:$C$114,0)-1,0)</f>
        <v>100.89403125</v>
      </c>
      <c r="F141" s="72">
        <f ca="1">133.66828125*OFFSET($L$113,MATCH($N$1,$C$113:$C$114,0)-1,0)</f>
        <v>133.66828125000001</v>
      </c>
      <c r="I141" s="43"/>
      <c r="K141" s="69" t="s">
        <v>269</v>
      </c>
      <c r="L141" s="70">
        <f t="shared" ca="1" si="2"/>
        <v>128.90335937500001</v>
      </c>
      <c r="M141" s="70">
        <f t="shared" ca="1" si="2"/>
        <v>107.87848046875</v>
      </c>
      <c r="N141" s="70">
        <f ca="1">E142</f>
        <v>107.091640625</v>
      </c>
      <c r="O141" s="70"/>
    </row>
    <row r="142" spans="1:15" ht="18" customHeight="1">
      <c r="A142" s="180"/>
      <c r="B142" s="37" t="s">
        <v>270</v>
      </c>
      <c r="C142" s="31">
        <f ca="1">128.903359375*OFFSET($L$113,MATCH($N$1,$C$113:$C$114,0)-1,0)</f>
        <v>128.90335937500001</v>
      </c>
      <c r="D142" s="31">
        <f ca="1">107.87848046875*OFFSET($L$113,MATCH($N$1,$C$113:$C$114,0)-1,0)</f>
        <v>107.87848046875</v>
      </c>
      <c r="E142" s="31">
        <f ca="1">107.091640625*OFFSET($L$113,MATCH($N$1,$C$113:$C$114,0)-1,0)</f>
        <v>107.091640625</v>
      </c>
      <c r="F142" s="68">
        <f ca="1">113.101203125*OFFSET($L$113,MATCH($N$1,$C$113:$C$114,0)-1,0)</f>
        <v>113.101203125</v>
      </c>
      <c r="I142" s="43"/>
      <c r="K142" s="69" t="s">
        <v>271</v>
      </c>
      <c r="L142" s="70">
        <f t="shared" ca="1" si="2"/>
        <v>50.063124999999999</v>
      </c>
      <c r="M142" s="70">
        <f t="shared" ca="1" si="2"/>
        <v>19.110363281249999</v>
      </c>
      <c r="N142" s="70">
        <f ca="1">E143</f>
        <v>-6.1976093749999999</v>
      </c>
      <c r="O142" s="70"/>
    </row>
    <row r="143" spans="1:15" ht="18" customHeight="1">
      <c r="A143" s="181"/>
      <c r="B143" s="39" t="s">
        <v>272</v>
      </c>
      <c r="C143" s="40">
        <f ca="1">50.063125*OFFSET($L$113,MATCH($N$1,$C$113:$C$114,0)-1,0)</f>
        <v>50.063124999999999</v>
      </c>
      <c r="D143" s="40">
        <f ca="1">19.11036328125*OFFSET($L$113,MATCH($N$1,$C$113:$C$114,0)-1,0)</f>
        <v>19.110363281249999</v>
      </c>
      <c r="E143" s="40">
        <f ca="1">-6.197609375*OFFSET($L$113,MATCH($N$1,$C$113:$C$114,0)-1,0)</f>
        <v>-6.1976093749999999</v>
      </c>
      <c r="F143" s="61">
        <f ca="1">20.567083984375*OFFSET($L$113,MATCH($N$1,$C$113:$C$114,0)-1,0)</f>
        <v>20.567083984375</v>
      </c>
      <c r="I143" s="43"/>
      <c r="K143" s="69" t="s">
        <v>273</v>
      </c>
      <c r="L143" s="73">
        <f ca="1">IFERROR(L141/L$140,"")</f>
        <v>0.72026536043978218</v>
      </c>
      <c r="M143" s="73">
        <f t="shared" ref="M143:N144" ca="1" si="3">IFERROR(M141/M$140,"")</f>
        <v>0.84951147898572776</v>
      </c>
      <c r="N143" s="73">
        <f t="shared" ca="1" si="3"/>
        <v>1.0614269179079907</v>
      </c>
      <c r="O143" s="73"/>
    </row>
    <row r="144" spans="1:15" ht="18" customHeight="1">
      <c r="I144" s="43"/>
      <c r="K144" s="69" t="s">
        <v>274</v>
      </c>
      <c r="L144" s="73">
        <f ca="1">IFERROR(L142/L$140,"")</f>
        <v>0.27973463956021793</v>
      </c>
      <c r="M144" s="73">
        <f t="shared" ca="1" si="3"/>
        <v>0.15048852101427215</v>
      </c>
      <c r="N144" s="73">
        <f t="shared" ca="1" si="3"/>
        <v>-6.1426917907990715E-2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12</v>
      </c>
      <c r="H162" s="74"/>
      <c r="I162" s="74" t="s">
        <v>255</v>
      </c>
      <c r="J162" s="74" t="s">
        <v>276</v>
      </c>
      <c r="K162" s="74" t="s">
        <v>257</v>
      </c>
      <c r="L162" s="48" t="s">
        <v>277</v>
      </c>
      <c r="R162" s="21"/>
      <c r="S162" s="21"/>
    </row>
    <row r="163" spans="1:19" s="43" customFormat="1">
      <c r="A163" s="44">
        <v>1</v>
      </c>
      <c r="B163" s="48" t="s">
        <v>159</v>
      </c>
      <c r="C163" s="48">
        <v>0.78989434191705765</v>
      </c>
      <c r="D163" s="48">
        <v>0.86945933564296074</v>
      </c>
      <c r="E163" s="48">
        <v>0.91391850089111382</v>
      </c>
      <c r="F163" s="44">
        <v>12153634</v>
      </c>
      <c r="G163" s="44">
        <v>1</v>
      </c>
      <c r="H163" s="48" t="s">
        <v>159</v>
      </c>
      <c r="I163" s="48">
        <v>0.79580064531253925</v>
      </c>
      <c r="J163" s="48">
        <v>0.90229325651934977</v>
      </c>
      <c r="K163" s="48">
        <v>0.88860179836064868</v>
      </c>
      <c r="L163" s="44">
        <v>12153634</v>
      </c>
      <c r="R163" s="21"/>
      <c r="S163" s="21"/>
    </row>
    <row r="164" spans="1:19" s="43" customFormat="1">
      <c r="A164" s="44">
        <v>2</v>
      </c>
      <c r="B164" s="48" t="s">
        <v>161</v>
      </c>
      <c r="C164" s="48">
        <v>5.2554718912924972E-2</v>
      </c>
      <c r="D164" s="48">
        <v>3.4232960685743587E-2</v>
      </c>
      <c r="E164" s="48">
        <v>0</v>
      </c>
      <c r="F164" s="44">
        <v>553960</v>
      </c>
      <c r="G164" s="44">
        <v>2</v>
      </c>
      <c r="H164" s="48" t="s">
        <v>161</v>
      </c>
      <c r="I164" s="48">
        <v>5.574232597617796E-2</v>
      </c>
      <c r="J164" s="48">
        <v>3.455810022603345E-2</v>
      </c>
      <c r="K164" s="48">
        <v>0</v>
      </c>
      <c r="L164" s="44">
        <v>553960</v>
      </c>
      <c r="N164" s="43" t="s">
        <v>278</v>
      </c>
      <c r="R164" s="21"/>
      <c r="S164" s="21"/>
    </row>
    <row r="165" spans="1:19" s="43" customFormat="1">
      <c r="A165" s="44">
        <v>3</v>
      </c>
      <c r="B165" s="48" t="s">
        <v>156</v>
      </c>
      <c r="C165" s="48">
        <v>4.2119920351673334E-2</v>
      </c>
      <c r="D165" s="48">
        <v>3.2663016059073374E-2</v>
      </c>
      <c r="E165" s="48">
        <v>0</v>
      </c>
      <c r="F165" s="44">
        <v>1692097</v>
      </c>
      <c r="G165" s="44">
        <v>3</v>
      </c>
      <c r="H165" s="48" t="s">
        <v>156</v>
      </c>
      <c r="I165" s="48">
        <v>0</v>
      </c>
      <c r="J165" s="48">
        <v>1.3227685625694914E-2</v>
      </c>
      <c r="K165" s="48">
        <v>0</v>
      </c>
      <c r="L165" s="44">
        <v>1692097</v>
      </c>
      <c r="N165" s="43" t="s">
        <v>279</v>
      </c>
      <c r="R165" s="21"/>
      <c r="S165" s="21"/>
    </row>
    <row r="166" spans="1:19" s="43" customFormat="1">
      <c r="A166" s="44">
        <v>4</v>
      </c>
      <c r="B166" s="48" t="s">
        <v>172</v>
      </c>
      <c r="C166" s="48">
        <v>3.2049813837469888E-2</v>
      </c>
      <c r="D166" s="48">
        <v>2.9365579867546419E-2</v>
      </c>
      <c r="E166" s="48">
        <v>9.6222019193875317E-3</v>
      </c>
      <c r="F166" s="44">
        <v>3689192</v>
      </c>
      <c r="G166" s="44">
        <v>4</v>
      </c>
      <c r="H166" s="48" t="s">
        <v>168</v>
      </c>
      <c r="I166" s="48">
        <v>1.9905571106664039E-2</v>
      </c>
      <c r="J166" s="48">
        <v>1.2206099887827131E-2</v>
      </c>
      <c r="K166" s="48">
        <v>0</v>
      </c>
      <c r="L166" s="44">
        <v>3050596</v>
      </c>
      <c r="R166" s="21"/>
      <c r="S166" s="21"/>
    </row>
    <row r="167" spans="1:19" s="43" customFormat="1">
      <c r="A167" s="44">
        <v>5</v>
      </c>
      <c r="B167" s="48" t="s">
        <v>168</v>
      </c>
      <c r="C167" s="48">
        <v>1.6920086101262166E-2</v>
      </c>
      <c r="D167" s="48">
        <v>1.100454293798718E-2</v>
      </c>
      <c r="E167" s="48">
        <v>0</v>
      </c>
      <c r="F167" s="44">
        <v>3050596</v>
      </c>
      <c r="G167" s="44">
        <v>5</v>
      </c>
      <c r="H167" s="48" t="s">
        <v>172</v>
      </c>
      <c r="I167" s="48">
        <v>0</v>
      </c>
      <c r="J167" s="48">
        <v>1.1560473498630911E-2</v>
      </c>
      <c r="K167" s="48">
        <v>0</v>
      </c>
      <c r="L167" s="44">
        <v>3689192</v>
      </c>
      <c r="R167" s="21"/>
      <c r="S167" s="21"/>
    </row>
    <row r="168" spans="1:19" s="43" customFormat="1">
      <c r="A168" s="44">
        <v>6</v>
      </c>
      <c r="B168" s="48" t="s">
        <v>181</v>
      </c>
      <c r="C168" s="48">
        <v>0</v>
      </c>
      <c r="D168" s="48">
        <v>0</v>
      </c>
      <c r="E168" s="48">
        <v>1.5693721955296093E-2</v>
      </c>
      <c r="F168" s="44">
        <v>11115023</v>
      </c>
      <c r="G168" s="44">
        <v>6</v>
      </c>
      <c r="H168" s="48" t="s">
        <v>181</v>
      </c>
      <c r="I168" s="48">
        <v>0</v>
      </c>
      <c r="J168" s="48">
        <v>0</v>
      </c>
      <c r="K168" s="48">
        <v>2.585216077655304E-2</v>
      </c>
      <c r="L168" s="44">
        <v>11115023</v>
      </c>
      <c r="R168" s="21"/>
      <c r="S168" s="21"/>
    </row>
    <row r="169" spans="1:19" s="43" customFormat="1">
      <c r="A169" s="44">
        <v>7</v>
      </c>
      <c r="B169" s="48" t="s">
        <v>176</v>
      </c>
      <c r="C169" s="48">
        <v>0</v>
      </c>
      <c r="D169" s="48">
        <v>0</v>
      </c>
      <c r="E169" s="48">
        <v>1.2535817642237795E-2</v>
      </c>
      <c r="F169" s="44">
        <v>2480382</v>
      </c>
      <c r="G169" s="44">
        <v>7</v>
      </c>
      <c r="H169" s="48" t="s">
        <v>176</v>
      </c>
      <c r="I169" s="48">
        <v>0</v>
      </c>
      <c r="J169" s="48">
        <v>0</v>
      </c>
      <c r="K169" s="48">
        <v>1.6087043820457756E-2</v>
      </c>
      <c r="L169" s="44">
        <v>2480382</v>
      </c>
      <c r="R169" s="21"/>
      <c r="S169" s="21"/>
    </row>
    <row r="170" spans="1:19" s="43" customFormat="1">
      <c r="A170" s="44">
        <v>8</v>
      </c>
      <c r="B170" s="48" t="s">
        <v>251</v>
      </c>
      <c r="C170" s="48">
        <v>6.6461118879612036E-2</v>
      </c>
      <c r="D170" s="48">
        <v>2.3274564806688769E-2</v>
      </c>
      <c r="E170" s="48">
        <v>3.5289984420015075E-2</v>
      </c>
      <c r="F170" s="44">
        <v>5920853</v>
      </c>
      <c r="G170" s="44">
        <v>8</v>
      </c>
      <c r="H170" s="48" t="s">
        <v>294</v>
      </c>
      <c r="I170" s="48">
        <v>0</v>
      </c>
      <c r="J170" s="48">
        <v>0</v>
      </c>
      <c r="K170" s="48">
        <v>1.0663732862210661E-2</v>
      </c>
      <c r="L170" s="44">
        <v>7434864</v>
      </c>
      <c r="R170" s="21"/>
      <c r="S170" s="21"/>
    </row>
    <row r="171" spans="1:19" s="43" customFormat="1">
      <c r="A171" s="44">
        <v>9</v>
      </c>
      <c r="B171" s="48"/>
      <c r="C171" s="48">
        <v>0</v>
      </c>
      <c r="D171" s="48">
        <v>0</v>
      </c>
      <c r="E171" s="48">
        <v>0</v>
      </c>
      <c r="F171" s="44"/>
      <c r="G171" s="44">
        <v>9</v>
      </c>
      <c r="H171" s="48" t="s">
        <v>166</v>
      </c>
      <c r="I171" s="48">
        <v>2.6635950304269716E-2</v>
      </c>
      <c r="J171" s="48">
        <v>0</v>
      </c>
      <c r="K171" s="48">
        <v>0</v>
      </c>
      <c r="L171" s="44">
        <v>8497745</v>
      </c>
      <c r="R171" s="21"/>
      <c r="S171" s="21"/>
    </row>
    <row r="172" spans="1:19" s="43" customFormat="1">
      <c r="A172" s="44">
        <v>10</v>
      </c>
      <c r="B172" s="48"/>
      <c r="C172" s="48">
        <v>0</v>
      </c>
      <c r="D172" s="48">
        <v>0</v>
      </c>
      <c r="E172" s="48">
        <v>0</v>
      </c>
      <c r="F172" s="44"/>
      <c r="G172" s="44">
        <v>10</v>
      </c>
      <c r="H172" s="48" t="s">
        <v>449</v>
      </c>
      <c r="I172" s="48">
        <v>2.4675463785502276E-2</v>
      </c>
      <c r="J172" s="48">
        <v>0</v>
      </c>
      <c r="K172" s="48">
        <v>0</v>
      </c>
      <c r="L172" s="44">
        <v>14393110</v>
      </c>
      <c r="R172" s="21"/>
      <c r="S172" s="21"/>
    </row>
    <row r="173" spans="1:19" s="43" customFormat="1">
      <c r="A173" s="44">
        <v>11</v>
      </c>
      <c r="B173" s="48"/>
      <c r="C173" s="48">
        <v>0</v>
      </c>
      <c r="D173" s="48">
        <v>0</v>
      </c>
      <c r="E173" s="48">
        <v>0</v>
      </c>
      <c r="F173" s="44"/>
      <c r="G173" s="44">
        <v>11</v>
      </c>
      <c r="H173" s="48" t="s">
        <v>251</v>
      </c>
      <c r="I173" s="48">
        <v>7.7240043514846812E-2</v>
      </c>
      <c r="J173" s="48">
        <v>2.6154384242463857E-2</v>
      </c>
      <c r="K173" s="48">
        <v>3.7320504206400873E-2</v>
      </c>
      <c r="L173" s="44">
        <v>5920853</v>
      </c>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6B759B2C-6D67-428F-8101-394C13A00C56}">
      <formula1>$C$113:$C$114</formula1>
    </dataValidation>
  </dataValidations>
  <hyperlinks>
    <hyperlink ref="O1:P1" location="Home_page" display="Back to home page" xr:uid="{70D2E39C-C857-48F4-8285-1CACB48C13D5}"/>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9D295612-B2EB-4723-B2A3-56E309875C67}">
          <x14:colorSeries rgb="FF323232"/>
          <x14:colorNegative rgb="FFD00000"/>
          <x14:colorAxis rgb="FF000000"/>
          <x14:colorMarkers rgb="FFD00000"/>
          <x14:colorFirst rgb="FFD00000"/>
          <x14:colorLast rgb="FFD00000"/>
          <x14:colorHigh rgb="FFD00000"/>
          <x14:colorLow rgb="FFD00000"/>
          <x14:sparklines>
            <x14:sparkline>
              <xm:f>'NS nephrops under 300kW'!D3:N3</xm:f>
              <xm:sqref>C3</xm:sqref>
            </x14:sparkline>
            <x14:sparkline>
              <xm:f>'NS nephrops under 300kW'!D4:N4</xm:f>
              <xm:sqref>C4</xm:sqref>
            </x14:sparkline>
            <x14:sparkline>
              <xm:f>'NS nephrops under 300kW'!D5:N5</xm:f>
              <xm:sqref>C5</xm:sqref>
            </x14:sparkline>
            <x14:sparkline>
              <xm:f>'NS nephrops under 300kW'!D6:N6</xm:f>
              <xm:sqref>C6</xm:sqref>
            </x14:sparkline>
            <x14:sparkline>
              <xm:f>'NS nephrops under 300kW'!D7:N7</xm:f>
              <xm:sqref>C7</xm:sqref>
            </x14:sparkline>
            <x14:sparkline>
              <xm:f>'NS nephrops under 300kW'!D8:N8</xm:f>
              <xm:sqref>C8</xm:sqref>
            </x14:sparkline>
            <x14:sparkline>
              <xm:f>'NS nephrops under 300kW'!D9:N9</xm:f>
              <xm:sqref>C9</xm:sqref>
            </x14:sparkline>
            <x14:sparkline>
              <xm:f>'NS nephrops under 300kW'!D10:N10</xm:f>
              <xm:sqref>C10</xm:sqref>
            </x14:sparkline>
            <x14:sparkline>
              <xm:f>'NS nephrops under 300kW'!D11:N11</xm:f>
              <xm:sqref>C11</xm:sqref>
            </x14:sparkline>
            <x14:sparkline>
              <xm:f>'NS nephrops under 300kW'!D12:N12</xm:f>
              <xm:sqref>C12</xm:sqref>
            </x14:sparkline>
            <x14:sparkline>
              <xm:f>'NS nephrops under 300kW'!D13:N13</xm:f>
              <xm:sqref>C13</xm:sqref>
            </x14:sparkline>
            <x14:sparkline>
              <xm:f>'NS nephrops under 300kW'!D14:N14</xm:f>
              <xm:sqref>C14</xm:sqref>
            </x14:sparkline>
            <x14:sparkline>
              <xm:f>'NS nephrops under 300kW'!D15:N15</xm:f>
              <xm:sqref>C15</xm:sqref>
            </x14:sparkline>
            <x14:sparkline>
              <xm:f>'NS nephrops under 300kW'!D16:N16</xm:f>
              <xm:sqref>C16</xm:sqref>
            </x14:sparkline>
            <x14:sparkline>
              <xm:f>'NS nephrops under 300kW'!D17:N17</xm:f>
              <xm:sqref>C17</xm:sqref>
            </x14:sparkline>
            <x14:sparkline>
              <xm:f>'NS nephrops under 300kW'!D18:N18</xm:f>
              <xm:sqref>C18</xm:sqref>
            </x14:sparkline>
            <x14:sparkline>
              <xm:f>'NS nephrops under 300kW'!D19:N19</xm:f>
              <xm:sqref>C19</xm:sqref>
            </x14:sparkline>
            <x14:sparkline>
              <xm:f>'NS nephrops under 300kW'!D20:N20</xm:f>
              <xm:sqref>C20</xm:sqref>
            </x14:sparkline>
            <x14:sparkline>
              <xm:f>'NS nephrops under 300kW'!D21:N21</xm:f>
              <xm:sqref>C21</xm:sqref>
            </x14:sparkline>
            <x14:sparkline>
              <xm:f>'NS nephrops under 300kW'!D22:N22</xm:f>
              <xm:sqref>C22</xm:sqref>
            </x14:sparkline>
            <x14:sparkline>
              <xm:f>'NS nephrops under 300kW'!D23:N23</xm:f>
              <xm:sqref>C23</xm:sqref>
            </x14:sparkline>
            <x14:sparkline>
              <xm:f>'NS nephrops under 300kW'!D24:N24</xm:f>
              <xm:sqref>C24</xm:sqref>
            </x14:sparkline>
            <x14:sparkline>
              <xm:f>'NS nephrops under 300kW'!D25:N25</xm:f>
              <xm:sqref>C25</xm:sqref>
            </x14:sparkline>
            <x14:sparkline>
              <xm:f>'NS nephrops under 300kW'!D26:N26</xm:f>
              <xm:sqref>C26</xm:sqref>
            </x14:sparkline>
            <x14:sparkline>
              <xm:f>'NS nephrops under 300kW'!D27:N27</xm:f>
              <xm:sqref>C27</xm:sqref>
            </x14:sparkline>
            <x14:sparkline>
              <xm:f>'NS nephrops under 300kW'!D28:N28</xm:f>
              <xm:sqref>C28</xm:sqref>
            </x14:sparkline>
            <x14:sparkline>
              <xm:f>'NS nephrops under 300kW'!D29:N29</xm:f>
              <xm:sqref>C29</xm:sqref>
            </x14:sparkline>
            <x14:sparkline>
              <xm:f>'NS nephrops under 300kW'!D30:N30</xm:f>
              <xm:sqref>C30</xm:sqref>
            </x14:sparkline>
            <x14:sparkline>
              <xm:f>'NS nephrops under 300kW'!D31:N31</xm:f>
              <xm:sqref>C31</xm:sqref>
            </x14:sparkline>
            <x14:sparkline>
              <xm:f>'NS nephrops under 300kW'!D32:N32</xm:f>
              <xm:sqref>C32</xm:sqref>
            </x14:sparkline>
            <x14:sparkline>
              <xm:f>'NS nephrops under 300kW'!D33:N33</xm:f>
              <xm:sqref>C33</xm:sqref>
            </x14:sparkline>
            <x14:sparkline>
              <xm:f>'NS nephrops under 300kW'!D34:N34</xm:f>
              <xm:sqref>C34</xm:sqref>
            </x14:sparkline>
            <x14:sparkline>
              <xm:f>'NS nephrops under 300kW'!D35:N35</xm:f>
              <xm:sqref>C35</xm:sqref>
            </x14:sparkline>
            <x14:sparkline>
              <xm:f>'NS nephrops under 300kW'!D36:N36</xm:f>
              <xm:sqref>C36</xm:sqref>
            </x14:sparkline>
            <x14:sparkline>
              <xm:f>'NS nephrops under 300kW'!D37:N37</xm:f>
              <xm:sqref>C37</xm:sqref>
            </x14:sparkline>
            <x14:sparkline>
              <xm:f>'NS nephrops under 300kW'!D38:N38</xm:f>
              <xm:sqref>C38</xm:sqref>
            </x14:sparkline>
            <x14:sparkline>
              <xm:f>'NS nephrops under 300kW'!D39:N39</xm:f>
              <xm:sqref>C39</xm:sqref>
            </x14:sparkline>
            <x14:sparkline>
              <xm:f>'NS nephrops under 300kW'!D40:N40</xm:f>
              <xm:sqref>C40</xm:sqref>
            </x14:sparkline>
            <x14:sparkline>
              <xm:f>'NS nephrops under 300kW'!D41:N41</xm:f>
              <xm:sqref>C41</xm:sqref>
            </x14:sparkline>
            <x14:sparkline>
              <xm:f>'NS nephrops under 300kW'!D42:N42</xm:f>
              <xm:sqref>C42</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D55B-5C1C-4988-8FC5-F53158140730}">
  <sheetPr codeName="Feuil44">
    <pageSetUpPr fitToPage="1"/>
  </sheetPr>
  <dimension ref="A1:C85"/>
  <sheetViews>
    <sheetView zoomScale="115" zoomScaleNormal="115" zoomScalePageLayoutView="90" workbookViewId="0"/>
  </sheetViews>
  <sheetFormatPr defaultColWidth="9" defaultRowHeight="12.95"/>
  <cols>
    <col min="1" max="1" width="9" style="3"/>
    <col min="2" max="2" width="72.125" style="3" customWidth="1"/>
    <col min="3" max="16384" width="9" style="3"/>
  </cols>
  <sheetData>
    <row r="1" spans="1:3" ht="39.75" customHeight="1" thickBot="1">
      <c r="B1" s="161" t="s">
        <v>40</v>
      </c>
      <c r="C1" s="158" t="s">
        <v>41</v>
      </c>
    </row>
    <row r="2" spans="1:3" ht="64.5" customHeight="1">
      <c r="A2" s="165" t="s">
        <v>42</v>
      </c>
      <c r="B2" s="165"/>
      <c r="C2" s="165"/>
    </row>
    <row r="3" spans="1:3" ht="14.45">
      <c r="A3" s="162"/>
      <c r="B3" s="162"/>
      <c r="C3" s="162"/>
    </row>
    <row r="4" spans="1:3" ht="15" customHeight="1">
      <c r="A4" s="170" t="s">
        <v>43</v>
      </c>
      <c r="B4" s="170"/>
      <c r="C4" s="170"/>
    </row>
    <row r="5" spans="1:3" ht="15.75" customHeight="1">
      <c r="A5" s="165" t="s">
        <v>44</v>
      </c>
      <c r="B5" s="165"/>
      <c r="C5" s="165"/>
    </row>
    <row r="6" spans="1:3" ht="30.75" customHeight="1">
      <c r="A6" s="165" t="s">
        <v>45</v>
      </c>
      <c r="B6" s="165"/>
      <c r="C6" s="165"/>
    </row>
    <row r="7" spans="1:3" ht="25.5" customHeight="1">
      <c r="A7" s="165" t="s">
        <v>46</v>
      </c>
      <c r="B7" s="165"/>
      <c r="C7" s="165"/>
    </row>
    <row r="8" spans="1:3" ht="50.25" customHeight="1">
      <c r="A8" s="165" t="s">
        <v>47</v>
      </c>
      <c r="B8" s="165"/>
      <c r="C8" s="165"/>
    </row>
    <row r="9" spans="1:3" ht="14.45">
      <c r="A9" s="162"/>
      <c r="B9" s="162"/>
      <c r="C9" s="162"/>
    </row>
    <row r="10" spans="1:3" ht="15" customHeight="1">
      <c r="A10" s="171" t="s">
        <v>48</v>
      </c>
      <c r="B10" s="171"/>
      <c r="C10" s="162"/>
    </row>
    <row r="11" spans="1:3" ht="27" customHeight="1">
      <c r="A11" s="172" t="s">
        <v>49</v>
      </c>
      <c r="B11" s="172"/>
      <c r="C11" s="172"/>
    </row>
    <row r="12" spans="1:3" ht="15" customHeight="1">
      <c r="A12" s="172" t="s">
        <v>50</v>
      </c>
      <c r="B12" s="172"/>
      <c r="C12" s="162"/>
    </row>
    <row r="13" spans="1:3" ht="15" customHeight="1">
      <c r="A13" s="172" t="s">
        <v>51</v>
      </c>
      <c r="B13" s="172"/>
      <c r="C13" s="172"/>
    </row>
    <row r="14" spans="1:3" ht="15" customHeight="1">
      <c r="A14" s="163"/>
      <c r="B14" s="163"/>
      <c r="C14" s="163"/>
    </row>
    <row r="15" spans="1:3" ht="14.45">
      <c r="A15" s="162"/>
      <c r="B15" s="162"/>
      <c r="C15" s="162"/>
    </row>
    <row r="16" spans="1:3" ht="14.45">
      <c r="A16" s="206" t="s">
        <v>52</v>
      </c>
      <c r="B16" s="206"/>
      <c r="C16" s="206"/>
    </row>
    <row r="17" spans="1:3" ht="45" customHeight="1">
      <c r="A17" s="165" t="s">
        <v>53</v>
      </c>
      <c r="B17" s="165"/>
      <c r="C17" s="165"/>
    </row>
    <row r="18" spans="1:3">
      <c r="A18" s="207"/>
      <c r="B18" s="207"/>
      <c r="C18" s="207"/>
    </row>
    <row r="19" spans="1:3" ht="45" customHeight="1">
      <c r="A19" s="165" t="s">
        <v>54</v>
      </c>
      <c r="B19" s="165"/>
      <c r="C19" s="165"/>
    </row>
    <row r="20" spans="1:3">
      <c r="A20" s="207"/>
      <c r="B20" s="207"/>
      <c r="C20" s="207"/>
    </row>
    <row r="21" spans="1:3" ht="32.25" customHeight="1">
      <c r="A21" s="165" t="s">
        <v>55</v>
      </c>
      <c r="B21" s="165"/>
      <c r="C21" s="165"/>
    </row>
    <row r="22" spans="1:3">
      <c r="A22" s="207"/>
      <c r="B22" s="207"/>
      <c r="C22" s="207"/>
    </row>
    <row r="23" spans="1:3" ht="40.5" customHeight="1">
      <c r="A23" s="165" t="s">
        <v>56</v>
      </c>
      <c r="B23" s="165"/>
      <c r="C23" s="165"/>
    </row>
    <row r="24" spans="1:3">
      <c r="A24" s="207"/>
      <c r="B24" s="207"/>
      <c r="C24" s="207"/>
    </row>
    <row r="25" spans="1:3" ht="36.75" customHeight="1">
      <c r="A25" s="165" t="s">
        <v>57</v>
      </c>
      <c r="B25" s="165"/>
      <c r="C25" s="165"/>
    </row>
    <row r="26" spans="1:3">
      <c r="A26" s="207"/>
      <c r="B26" s="207"/>
      <c r="C26" s="207"/>
    </row>
    <row r="27" spans="1:3" ht="28.5" customHeight="1">
      <c r="A27" s="166" t="s">
        <v>58</v>
      </c>
      <c r="B27" s="166"/>
      <c r="C27" s="166"/>
    </row>
    <row r="28" spans="1:3">
      <c r="A28" s="207"/>
      <c r="B28" s="207"/>
      <c r="C28" s="207"/>
    </row>
    <row r="29" spans="1:3" ht="27.75" customHeight="1">
      <c r="A29" s="166" t="s">
        <v>59</v>
      </c>
      <c r="B29" s="166"/>
      <c r="C29" s="166"/>
    </row>
    <row r="30" spans="1:3">
      <c r="A30" s="207"/>
      <c r="B30" s="207"/>
      <c r="C30" s="207"/>
    </row>
    <row r="31" spans="1:3" ht="38.25" customHeight="1">
      <c r="A31" s="166" t="s">
        <v>60</v>
      </c>
      <c r="B31" s="166"/>
      <c r="C31" s="166"/>
    </row>
    <row r="32" spans="1:3">
      <c r="A32" s="207"/>
      <c r="B32" s="207"/>
      <c r="C32" s="207"/>
    </row>
    <row r="33" spans="1:3" ht="24" customHeight="1">
      <c r="A33" s="167" t="s">
        <v>61</v>
      </c>
      <c r="B33" s="167"/>
      <c r="C33" s="167"/>
    </row>
    <row r="34" spans="1:3" ht="30.75" customHeight="1">
      <c r="A34" s="168" t="s">
        <v>62</v>
      </c>
      <c r="B34" s="168"/>
      <c r="C34" s="168"/>
    </row>
    <row r="35" spans="1:3" ht="27.75" customHeight="1">
      <c r="A35" s="169" t="s">
        <v>63</v>
      </c>
      <c r="B35" s="169"/>
      <c r="C35" s="169"/>
    </row>
    <row r="36" spans="1:3" ht="63" customHeight="1">
      <c r="A36" s="167" t="s">
        <v>64</v>
      </c>
      <c r="B36" s="167"/>
      <c r="C36" s="167"/>
    </row>
    <row r="37" spans="1:3" ht="38.25" customHeight="1">
      <c r="A37" s="167" t="s">
        <v>65</v>
      </c>
      <c r="B37" s="167"/>
      <c r="C37" s="167"/>
    </row>
    <row r="38" spans="1:3" ht="15" customHeight="1">
      <c r="A38" s="207"/>
      <c r="B38" s="207"/>
      <c r="C38" s="207"/>
    </row>
    <row r="39" spans="1:3" ht="12.75" customHeight="1">
      <c r="A39" s="166" t="s">
        <v>66</v>
      </c>
      <c r="B39" s="166"/>
      <c r="C39" s="166"/>
    </row>
    <row r="40" spans="1:3">
      <c r="A40" s="207"/>
      <c r="B40" s="207"/>
      <c r="C40" s="207"/>
    </row>
    <row r="41" spans="1:3" ht="39" customHeight="1">
      <c r="A41" s="165" t="s">
        <v>67</v>
      </c>
      <c r="B41" s="165"/>
      <c r="C41" s="165"/>
    </row>
    <row r="42" spans="1:3" ht="14.45">
      <c r="A42" s="162"/>
      <c r="B42" s="162"/>
      <c r="C42" s="162"/>
    </row>
    <row r="43" spans="1:3" ht="14.45">
      <c r="A43" s="208" t="s">
        <v>68</v>
      </c>
      <c r="B43" s="208"/>
      <c r="C43" s="208"/>
    </row>
    <row r="44" spans="1:3" ht="77.25" customHeight="1">
      <c r="A44" s="164" t="s">
        <v>69</v>
      </c>
      <c r="B44" s="164"/>
      <c r="C44" s="164"/>
    </row>
    <row r="45" spans="1:3" ht="19.5" customHeight="1">
      <c r="A45" s="207"/>
      <c r="B45" s="207"/>
      <c r="C45" s="207"/>
    </row>
    <row r="46" spans="1:3" ht="79.5" customHeight="1">
      <c r="A46" s="165" t="s">
        <v>70</v>
      </c>
      <c r="B46" s="165"/>
      <c r="C46" s="165"/>
    </row>
    <row r="47" spans="1:3">
      <c r="A47" s="207"/>
      <c r="B47" s="207"/>
      <c r="C47" s="207"/>
    </row>
    <row r="48" spans="1:3" ht="49.5" customHeight="1">
      <c r="A48" s="165" t="s">
        <v>71</v>
      </c>
      <c r="B48" s="165"/>
      <c r="C48" s="165"/>
    </row>
    <row r="49" spans="1:3">
      <c r="A49" s="207"/>
      <c r="B49" s="207"/>
      <c r="C49" s="207"/>
    </row>
    <row r="50" spans="1:3">
      <c r="A50" s="207"/>
      <c r="B50" s="207"/>
      <c r="C50" s="207"/>
    </row>
    <row r="51" spans="1:3">
      <c r="A51" s="207"/>
      <c r="B51" s="207"/>
      <c r="C51" s="207"/>
    </row>
    <row r="52" spans="1:3">
      <c r="A52" s="207"/>
      <c r="B52" s="207"/>
      <c r="C52" s="207"/>
    </row>
    <row r="53" spans="1:3">
      <c r="A53" s="207"/>
      <c r="B53" s="207"/>
      <c r="C53" s="207"/>
    </row>
    <row r="54" spans="1:3">
      <c r="A54" s="207"/>
      <c r="B54" s="207"/>
      <c r="C54" s="207"/>
    </row>
    <row r="55" spans="1:3">
      <c r="A55" s="207"/>
      <c r="B55" s="207"/>
      <c r="C55" s="207"/>
    </row>
    <row r="56" spans="1:3">
      <c r="A56" s="207"/>
      <c r="B56" s="207"/>
      <c r="C56" s="207"/>
    </row>
    <row r="57" spans="1:3">
      <c r="A57" s="207"/>
      <c r="B57" s="207"/>
      <c r="C57" s="207"/>
    </row>
    <row r="58" spans="1:3">
      <c r="A58" s="207"/>
      <c r="B58" s="207"/>
      <c r="C58" s="207"/>
    </row>
    <row r="59" spans="1:3">
      <c r="A59" s="207"/>
      <c r="B59" s="207"/>
      <c r="C59" s="207"/>
    </row>
    <row r="60" spans="1:3">
      <c r="A60" s="207"/>
      <c r="B60" s="207"/>
      <c r="C60" s="207"/>
    </row>
    <row r="61" spans="1:3">
      <c r="A61" s="207"/>
      <c r="B61" s="207"/>
      <c r="C61" s="207"/>
    </row>
    <row r="62" spans="1:3">
      <c r="A62" s="207"/>
      <c r="B62" s="207"/>
      <c r="C62" s="207"/>
    </row>
    <row r="63" spans="1:3">
      <c r="A63" s="207"/>
      <c r="B63" s="207"/>
      <c r="C63" s="207"/>
    </row>
    <row r="64" spans="1:3">
      <c r="A64" s="207"/>
      <c r="B64" s="207"/>
      <c r="C64" s="207"/>
    </row>
    <row r="65" spans="1:3">
      <c r="A65" s="207"/>
      <c r="B65" s="207"/>
      <c r="C65" s="207"/>
    </row>
    <row r="66" spans="1:3">
      <c r="A66" s="207"/>
      <c r="B66" s="207"/>
      <c r="C66" s="207"/>
    </row>
    <row r="67" spans="1:3">
      <c r="A67" s="207"/>
      <c r="B67" s="207"/>
      <c r="C67" s="207"/>
    </row>
    <row r="68" spans="1:3">
      <c r="A68" s="207"/>
      <c r="B68" s="207"/>
      <c r="C68" s="207"/>
    </row>
    <row r="69" spans="1:3">
      <c r="A69" s="207"/>
      <c r="B69" s="207"/>
      <c r="C69" s="207"/>
    </row>
    <row r="70" spans="1:3">
      <c r="A70" s="207"/>
      <c r="B70" s="207"/>
      <c r="C70" s="207"/>
    </row>
    <row r="71" spans="1:3">
      <c r="A71" s="207"/>
      <c r="B71" s="207"/>
      <c r="C71" s="207"/>
    </row>
    <row r="72" spans="1:3">
      <c r="A72" s="207"/>
      <c r="B72" s="207"/>
      <c r="C72" s="207"/>
    </row>
    <row r="73" spans="1:3">
      <c r="A73" s="207"/>
      <c r="B73" s="207"/>
      <c r="C73" s="207"/>
    </row>
    <row r="74" spans="1:3">
      <c r="A74" s="207"/>
      <c r="B74" s="207"/>
      <c r="C74" s="207"/>
    </row>
    <row r="75" spans="1:3">
      <c r="A75" s="207"/>
      <c r="B75" s="207"/>
      <c r="C75" s="207"/>
    </row>
    <row r="76" spans="1:3">
      <c r="A76" s="207"/>
      <c r="B76" s="207"/>
      <c r="C76" s="207"/>
    </row>
    <row r="77" spans="1:3">
      <c r="A77" s="207"/>
      <c r="B77" s="207"/>
      <c r="C77" s="207"/>
    </row>
    <row r="78" spans="1:3">
      <c r="A78" s="207"/>
      <c r="B78" s="207"/>
      <c r="C78" s="207"/>
    </row>
    <row r="79" spans="1:3">
      <c r="A79" s="207"/>
      <c r="B79" s="207"/>
      <c r="C79" s="207"/>
    </row>
    <row r="80" spans="1:3">
      <c r="A80" s="207"/>
      <c r="B80" s="207"/>
      <c r="C80" s="207"/>
    </row>
    <row r="81" spans="1:3">
      <c r="A81" s="207"/>
      <c r="B81" s="207"/>
      <c r="C81" s="207"/>
    </row>
    <row r="82" spans="1:3">
      <c r="A82" s="207"/>
      <c r="B82" s="207"/>
      <c r="C82" s="207"/>
    </row>
    <row r="83" spans="1:3">
      <c r="A83" s="207"/>
      <c r="B83" s="207"/>
      <c r="C83" s="207"/>
    </row>
    <row r="84" spans="1:3">
      <c r="A84" s="207"/>
      <c r="B84" s="207"/>
      <c r="C84" s="207"/>
    </row>
    <row r="85" spans="1:3">
      <c r="A85" s="207"/>
      <c r="B85" s="207"/>
      <c r="C85" s="207"/>
    </row>
  </sheetData>
  <mergeCells count="79">
    <mergeCell ref="A17:C17"/>
    <mergeCell ref="A2:C2"/>
    <mergeCell ref="A4:C4"/>
    <mergeCell ref="A5:C5"/>
    <mergeCell ref="A6:C6"/>
    <mergeCell ref="A7:C7"/>
    <mergeCell ref="A8:C8"/>
    <mergeCell ref="A10:B10"/>
    <mergeCell ref="A11:C11"/>
    <mergeCell ref="A12:B12"/>
    <mergeCell ref="A13:C13"/>
    <mergeCell ref="A16:C16"/>
    <mergeCell ref="A29:C29"/>
    <mergeCell ref="A18:C18"/>
    <mergeCell ref="A19:C19"/>
    <mergeCell ref="A20:C20"/>
    <mergeCell ref="A21:C21"/>
    <mergeCell ref="A22:C22"/>
    <mergeCell ref="A23:C23"/>
    <mergeCell ref="A24:C24"/>
    <mergeCell ref="A25:C25"/>
    <mergeCell ref="A26:C26"/>
    <mergeCell ref="A27:C27"/>
    <mergeCell ref="A28:C28"/>
    <mergeCell ref="A41:C41"/>
    <mergeCell ref="A30:C30"/>
    <mergeCell ref="A31:C31"/>
    <mergeCell ref="A32:C32"/>
    <mergeCell ref="A33:C33"/>
    <mergeCell ref="A34:C34"/>
    <mergeCell ref="A35:C35"/>
    <mergeCell ref="A36:C36"/>
    <mergeCell ref="A37:C37"/>
    <mergeCell ref="A38:C38"/>
    <mergeCell ref="A39:C39"/>
    <mergeCell ref="A40:C40"/>
    <mergeCell ref="A54:C54"/>
    <mergeCell ref="A43:C43"/>
    <mergeCell ref="A44:C44"/>
    <mergeCell ref="A45:C45"/>
    <mergeCell ref="A46:C46"/>
    <mergeCell ref="A47:C47"/>
    <mergeCell ref="A48:C48"/>
    <mergeCell ref="A49:C49"/>
    <mergeCell ref="A50:C50"/>
    <mergeCell ref="A51:C51"/>
    <mergeCell ref="A52:C52"/>
    <mergeCell ref="A53:C53"/>
    <mergeCell ref="A66:C66"/>
    <mergeCell ref="A55:C55"/>
    <mergeCell ref="A56:C56"/>
    <mergeCell ref="A57:C57"/>
    <mergeCell ref="A58:C58"/>
    <mergeCell ref="A59:C59"/>
    <mergeCell ref="A60:C60"/>
    <mergeCell ref="A61:C61"/>
    <mergeCell ref="A62:C62"/>
    <mergeCell ref="A63:C63"/>
    <mergeCell ref="A64:C64"/>
    <mergeCell ref="A65:C65"/>
    <mergeCell ref="A78:C78"/>
    <mergeCell ref="A67:C67"/>
    <mergeCell ref="A68:C68"/>
    <mergeCell ref="A69:C69"/>
    <mergeCell ref="A70:C70"/>
    <mergeCell ref="A71:C71"/>
    <mergeCell ref="A72:C72"/>
    <mergeCell ref="A73:C73"/>
    <mergeCell ref="A74:C74"/>
    <mergeCell ref="A75:C75"/>
    <mergeCell ref="A76:C76"/>
    <mergeCell ref="A77:C77"/>
    <mergeCell ref="A85:C85"/>
    <mergeCell ref="A79:C79"/>
    <mergeCell ref="A80:C80"/>
    <mergeCell ref="A81:C81"/>
    <mergeCell ref="A82:C82"/>
    <mergeCell ref="A83:C83"/>
    <mergeCell ref="A84:C84"/>
  </mergeCells>
  <hyperlinks>
    <hyperlink ref="C1" location="Home_page" display="Back to_x000a_home page" xr:uid="{1C8A0F82-0A23-4054-AD98-5ABF6E426BFE}"/>
  </hyperlinks>
  <printOptions horizontalCentered="1"/>
  <pageMargins left="0.70866141732283472" right="0.70866141732283472" top="0.74803149606299213" bottom="0.74803149606299213" header="0.31496062992125984" footer="0.31496062992125984"/>
  <pageSetup paperSize="9" scale="8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B1D0-9538-46B3-9943-9928F5CDBA5A}">
  <sheetPr codeName="Feuil21">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23</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46</v>
      </c>
      <c r="E3" s="28">
        <v>49</v>
      </c>
      <c r="F3" s="28">
        <v>36</v>
      </c>
      <c r="G3" s="28">
        <v>43</v>
      </c>
      <c r="H3" s="28">
        <v>44</v>
      </c>
      <c r="I3" s="28">
        <v>43</v>
      </c>
      <c r="J3" s="28">
        <v>45</v>
      </c>
      <c r="K3" s="28">
        <v>42</v>
      </c>
      <c r="L3" s="28">
        <v>42</v>
      </c>
      <c r="M3" s="28">
        <v>41</v>
      </c>
      <c r="N3" s="28">
        <v>39</v>
      </c>
      <c r="O3" s="29">
        <f t="shared" ref="O3:O42" si="0">IF(N3=0,"",IFERROR(IF(AND(N3&gt;0,D3&lt;0),"na",IF(AND(N3&lt;0,D3&lt;0),-1,1)*(N3-D3)/D3),""))</f>
        <v>-0.15217391304347827</v>
      </c>
      <c r="P3" s="29">
        <f t="shared" ref="P3:P42" si="1">IF(N3=0,"",IFERROR(IF(AND(N3&gt;0,J3&lt;0),"na",IF(AND(N3&lt;0,J3&lt;0),-1,1)*(N3-J3)/J3),""))</f>
        <v>-0.13333333333333333</v>
      </c>
    </row>
    <row r="4" spans="1:17" ht="18" customHeight="1">
      <c r="A4" s="185"/>
      <c r="B4" s="30" t="s">
        <v>190</v>
      </c>
      <c r="C4" s="31"/>
      <c r="D4" s="31">
        <v>41051</v>
      </c>
      <c r="E4" s="31">
        <v>37831</v>
      </c>
      <c r="F4" s="31">
        <v>30580</v>
      </c>
      <c r="G4" s="31">
        <v>35516</v>
      </c>
      <c r="H4" s="31">
        <v>36598</v>
      </c>
      <c r="I4" s="31">
        <v>36214</v>
      </c>
      <c r="J4" s="31">
        <v>36175</v>
      </c>
      <c r="K4" s="31">
        <v>34133</v>
      </c>
      <c r="L4" s="31">
        <v>32974</v>
      </c>
      <c r="M4" s="31">
        <v>33396</v>
      </c>
      <c r="N4" s="31">
        <v>32479</v>
      </c>
      <c r="O4" s="29">
        <f t="shared" si="0"/>
        <v>-0.20881342720031182</v>
      </c>
      <c r="P4" s="29">
        <f t="shared" si="1"/>
        <v>-0.10217000691085003</v>
      </c>
    </row>
    <row r="5" spans="1:17" ht="18" customHeight="1">
      <c r="A5" s="185"/>
      <c r="B5" s="30" t="s">
        <v>191</v>
      </c>
      <c r="C5" s="31"/>
      <c r="D5" s="31">
        <v>16533</v>
      </c>
      <c r="E5" s="31">
        <v>15862</v>
      </c>
      <c r="F5" s="31">
        <v>12506</v>
      </c>
      <c r="G5" s="31">
        <v>14482</v>
      </c>
      <c r="H5" s="31">
        <v>15000</v>
      </c>
      <c r="I5" s="31">
        <v>14868</v>
      </c>
      <c r="J5" s="31">
        <v>14989</v>
      </c>
      <c r="K5" s="31">
        <v>14595</v>
      </c>
      <c r="L5" s="31">
        <v>14747</v>
      </c>
      <c r="M5" s="31">
        <v>14754</v>
      </c>
      <c r="N5" s="31">
        <v>14727</v>
      </c>
      <c r="O5" s="29">
        <f t="shared" si="0"/>
        <v>-0.1092360733079296</v>
      </c>
      <c r="P5" s="29">
        <f t="shared" si="1"/>
        <v>-1.7479484955634131E-2</v>
      </c>
      <c r="Q5" s="32"/>
    </row>
    <row r="6" spans="1:17" ht="18" customHeight="1">
      <c r="A6" s="185"/>
      <c r="B6" s="30" t="s">
        <v>192</v>
      </c>
      <c r="C6" s="31"/>
      <c r="D6" s="31">
        <v>30268.076171875</v>
      </c>
      <c r="E6" s="31">
        <v>28753.75</v>
      </c>
      <c r="F6" s="31">
        <v>22699.40234375</v>
      </c>
      <c r="G6" s="31">
        <v>26352.083984375</v>
      </c>
      <c r="H6" s="31">
        <v>27184.373046875</v>
      </c>
      <c r="I6" s="31">
        <v>26887.015625</v>
      </c>
      <c r="J6" s="31">
        <v>27049.474609375</v>
      </c>
      <c r="K6" s="31">
        <v>25670.265625</v>
      </c>
      <c r="L6" s="31">
        <v>25045.3203125</v>
      </c>
      <c r="M6" s="31">
        <v>25263.66015625</v>
      </c>
      <c r="N6" s="31">
        <v>24599.712890625</v>
      </c>
      <c r="O6" s="29">
        <f t="shared" si="0"/>
        <v>-0.18727200397747859</v>
      </c>
      <c r="P6" s="29">
        <f t="shared" si="1"/>
        <v>-9.0565963077927733E-2</v>
      </c>
    </row>
    <row r="7" spans="1:17" ht="18" customHeight="1">
      <c r="A7" s="185"/>
      <c r="B7" s="30" t="s">
        <v>193</v>
      </c>
      <c r="C7" s="31"/>
      <c r="D7" s="31">
        <v>41615.58984375</v>
      </c>
      <c r="E7" s="31">
        <v>50459.36328125</v>
      </c>
      <c r="F7" s="31">
        <v>40113.359375</v>
      </c>
      <c r="G7" s="31">
        <v>43756.546875</v>
      </c>
      <c r="H7" s="31">
        <v>49764.796875</v>
      </c>
      <c r="I7" s="31">
        <v>46618.97265625</v>
      </c>
      <c r="J7" s="31">
        <v>50995.24609375</v>
      </c>
      <c r="K7" s="31">
        <v>46166.015625</v>
      </c>
      <c r="L7" s="31">
        <v>35693.21875</v>
      </c>
      <c r="M7" s="31">
        <v>37605.77734375</v>
      </c>
      <c r="N7" s="31">
        <v>39367.05078125</v>
      </c>
      <c r="O7" s="29">
        <f t="shared" si="0"/>
        <v>-5.4031171273610935E-2</v>
      </c>
      <c r="P7" s="29">
        <f t="shared" si="1"/>
        <v>-0.228025084752462</v>
      </c>
    </row>
    <row r="8" spans="1:17" ht="18" customHeight="1">
      <c r="A8" s="185"/>
      <c r="B8" s="30" t="s">
        <v>194</v>
      </c>
      <c r="C8" s="33"/>
      <c r="D8" s="33">
        <f ca="1">79.902184*OFFSET(D$113,MATCH($N$1,$C$113:$C$114,0)-1,0)</f>
        <v>79.902184000000005</v>
      </c>
      <c r="E8" s="33">
        <f ca="1">87.446584*OFFSET(E$113,MATCH($N$1,$C$113:$C$114,0)-1,0)</f>
        <v>87.446584000000001</v>
      </c>
      <c r="F8" s="33">
        <f ca="1">76.387144*OFFSET(F$113,MATCH($N$1,$C$113:$C$114,0)-1,0)</f>
        <v>76.387144000000006</v>
      </c>
      <c r="G8" s="33">
        <f ca="1">80.850504*OFFSET(G$113,MATCH($N$1,$C$113:$C$114,0)-1,0)</f>
        <v>80.850504000000001</v>
      </c>
      <c r="H8" s="33">
        <f ca="1">100.625496*OFFSET(H$113,MATCH($N$1,$C$113:$C$114,0)-1,0)</f>
        <v>100.625496</v>
      </c>
      <c r="I8" s="33">
        <f ca="1">100.588936*OFFSET(I$113,MATCH($N$1,$C$113:$C$114,0)-1,0)</f>
        <v>100.588936</v>
      </c>
      <c r="J8" s="33">
        <f ca="1">114.251728*OFFSET(J$113,MATCH($N$1,$C$113:$C$114,0)-1,0)</f>
        <v>114.251728</v>
      </c>
      <c r="K8" s="33">
        <f ca="1">101.966312*OFFSET(K$113,MATCH($N$1,$C$113:$C$114,0)-1,0)</f>
        <v>101.966312</v>
      </c>
      <c r="L8" s="33">
        <f ca="1">67.693248*OFFSET(L$113,MATCH($N$1,$C$113:$C$114,0)-1,0)</f>
        <v>67.693247999999997</v>
      </c>
      <c r="M8" s="33">
        <f ca="1">72.489344*OFFSET(M$113,MATCH($N$1,$C$113:$C$114,0)-1,0)</f>
        <v>72.489344000000003</v>
      </c>
      <c r="N8" s="33">
        <v>88.719343999999992</v>
      </c>
      <c r="O8" s="29">
        <f t="shared" ca="1" si="0"/>
        <v>0.11034942424101933</v>
      </c>
      <c r="P8" s="29">
        <f t="shared" ca="1" si="1"/>
        <v>-0.223474816941062</v>
      </c>
    </row>
    <row r="9" spans="1:17" ht="18" customHeight="1">
      <c r="A9" s="185"/>
      <c r="B9" s="30" t="s">
        <v>195</v>
      </c>
      <c r="C9" s="31"/>
      <c r="D9" s="31">
        <v>9216</v>
      </c>
      <c r="E9" s="31">
        <v>9630</v>
      </c>
      <c r="F9" s="31">
        <v>7752</v>
      </c>
      <c r="G9" s="31">
        <v>8957</v>
      </c>
      <c r="H9" s="31">
        <v>9082</v>
      </c>
      <c r="I9" s="31">
        <v>8406</v>
      </c>
      <c r="J9" s="31">
        <v>10210</v>
      </c>
      <c r="K9" s="31">
        <v>9127</v>
      </c>
      <c r="L9" s="31">
        <v>8203</v>
      </c>
      <c r="M9" s="31">
        <v>8502</v>
      </c>
      <c r="N9" s="31">
        <v>8317</v>
      </c>
      <c r="O9" s="29">
        <f t="shared" si="0"/>
        <v>-9.7547743055555552E-2</v>
      </c>
      <c r="P9" s="29">
        <f t="shared" si="1"/>
        <v>-0.18540646425073457</v>
      </c>
    </row>
    <row r="10" spans="1:17" ht="18" customHeight="1">
      <c r="A10" s="185"/>
      <c r="B10" s="30" t="s">
        <v>196</v>
      </c>
      <c r="C10" s="31"/>
      <c r="D10" s="31">
        <v>37170.951999999997</v>
      </c>
      <c r="E10" s="31">
        <v>35594.5</v>
      </c>
      <c r="F10" s="31">
        <v>30014.3</v>
      </c>
      <c r="G10" s="31">
        <v>34296.6</v>
      </c>
      <c r="H10" s="31">
        <v>35388.5</v>
      </c>
      <c r="I10" s="31">
        <v>32263.7</v>
      </c>
      <c r="J10" s="31">
        <v>37902.951999999997</v>
      </c>
      <c r="K10" s="31">
        <v>34289.4</v>
      </c>
      <c r="L10" s="31">
        <v>30588.25</v>
      </c>
      <c r="M10" s="31">
        <v>33606.699999999997</v>
      </c>
      <c r="N10" s="31">
        <v>32378.7</v>
      </c>
      <c r="O10" s="29">
        <f t="shared" si="0"/>
        <v>-0.12892465062503639</v>
      </c>
      <c r="P10" s="29">
        <f t="shared" si="1"/>
        <v>-0.1457472758322359</v>
      </c>
    </row>
    <row r="11" spans="1:17" ht="18" customHeight="1">
      <c r="A11" s="185"/>
      <c r="B11" s="30" t="s">
        <v>197</v>
      </c>
      <c r="C11" s="31"/>
      <c r="D11" s="31">
        <v>639.64227294921875</v>
      </c>
      <c r="E11" s="31">
        <v>612.89892578125</v>
      </c>
      <c r="F11" s="31">
        <v>415.10995483398438</v>
      </c>
      <c r="G11" s="31">
        <v>547.2291259765625</v>
      </c>
      <c r="H11" s="31">
        <v>638.04266357421875</v>
      </c>
      <c r="I11" s="31">
        <v>511.76028442382813</v>
      </c>
      <c r="J11" s="31">
        <v>524.10906982421875</v>
      </c>
      <c r="K11" s="31">
        <v>814.23431396484375</v>
      </c>
      <c r="L11" s="31">
        <v>577.3924560546875</v>
      </c>
      <c r="M11" s="31">
        <v>503.84652709960938</v>
      </c>
      <c r="N11" s="31">
        <v>478.6292724609375</v>
      </c>
      <c r="O11" s="34">
        <f t="shared" si="0"/>
        <v>-0.25172351374760388</v>
      </c>
      <c r="P11" s="34">
        <f t="shared" si="1"/>
        <v>-8.6775444238228402E-2</v>
      </c>
    </row>
    <row r="12" spans="1:17" ht="18" customHeight="1">
      <c r="A12" s="186" t="s">
        <v>198</v>
      </c>
      <c r="B12" s="35" t="s">
        <v>199</v>
      </c>
      <c r="C12" s="36"/>
      <c r="D12" s="36">
        <v>29.884347915649414</v>
      </c>
      <c r="E12" s="36">
        <v>28.813264846801758</v>
      </c>
      <c r="F12" s="36">
        <v>29.198610305786133</v>
      </c>
      <c r="G12" s="36">
        <v>29.048837661743164</v>
      </c>
      <c r="H12" s="36">
        <v>29.227500915527344</v>
      </c>
      <c r="I12" s="36">
        <v>29.306976318359375</v>
      </c>
      <c r="J12" s="36">
        <v>28.82844352722168</v>
      </c>
      <c r="K12" s="36">
        <v>29.15571403503418</v>
      </c>
      <c r="L12" s="36">
        <v>28.582857131958008</v>
      </c>
      <c r="M12" s="36">
        <v>29.060243606567383</v>
      </c>
      <c r="N12" s="36">
        <v>29.297691345214844</v>
      </c>
      <c r="O12" s="29">
        <f t="shared" si="0"/>
        <v>-1.9630897488225208E-2</v>
      </c>
      <c r="P12" s="29">
        <f t="shared" si="1"/>
        <v>1.6277251234534044E-2</v>
      </c>
    </row>
    <row r="13" spans="1:17" ht="18" customHeight="1">
      <c r="A13" s="187"/>
      <c r="B13" s="37" t="s">
        <v>190</v>
      </c>
      <c r="C13" s="31"/>
      <c r="D13" s="31">
        <v>892.41302490234375</v>
      </c>
      <c r="E13" s="31">
        <v>772.06121826171875</v>
      </c>
      <c r="F13" s="31">
        <v>849.4444580078125</v>
      </c>
      <c r="G13" s="31">
        <v>825.9534912109375</v>
      </c>
      <c r="H13" s="31">
        <v>831.772705078125</v>
      </c>
      <c r="I13" s="31">
        <v>842.18603515625</v>
      </c>
      <c r="J13" s="31">
        <v>803.888916015625</v>
      </c>
      <c r="K13" s="31">
        <v>812.69049072265625</v>
      </c>
      <c r="L13" s="31">
        <v>785.09521484375</v>
      </c>
      <c r="M13" s="31">
        <v>814.53656005859375</v>
      </c>
      <c r="N13" s="31">
        <v>832.79486083984375</v>
      </c>
      <c r="O13" s="29">
        <f t="shared" si="0"/>
        <v>-6.6805573651307903E-2</v>
      </c>
      <c r="P13" s="29">
        <f t="shared" si="1"/>
        <v>3.5957635748341273E-2</v>
      </c>
    </row>
    <row r="14" spans="1:17" ht="18" customHeight="1">
      <c r="A14" s="187"/>
      <c r="B14" s="37" t="s">
        <v>191</v>
      </c>
      <c r="C14" s="31"/>
      <c r="D14" s="31">
        <v>359.41305541992188</v>
      </c>
      <c r="E14" s="31">
        <v>323.71429443359375</v>
      </c>
      <c r="F14" s="31">
        <v>347.38888549804688</v>
      </c>
      <c r="G14" s="31">
        <v>336.79071044921875</v>
      </c>
      <c r="H14" s="31">
        <v>340.90908813476563</v>
      </c>
      <c r="I14" s="31">
        <v>345.7674560546875</v>
      </c>
      <c r="J14" s="31">
        <v>333.08889770507813</v>
      </c>
      <c r="K14" s="31">
        <v>347.5</v>
      </c>
      <c r="L14" s="31">
        <v>351.11904907226563</v>
      </c>
      <c r="M14" s="31">
        <v>359.85366821289063</v>
      </c>
      <c r="N14" s="31">
        <v>377.61538696289063</v>
      </c>
      <c r="O14" s="29">
        <f t="shared" si="0"/>
        <v>5.0644603106311685E-2</v>
      </c>
      <c r="P14" s="29">
        <f t="shared" si="1"/>
        <v>0.13367749440041954</v>
      </c>
    </row>
    <row r="15" spans="1:17" ht="18" customHeight="1">
      <c r="A15" s="187"/>
      <c r="B15" s="37" t="s">
        <v>192</v>
      </c>
      <c r="C15" s="31"/>
      <c r="D15" s="31">
        <v>658.00164794921875</v>
      </c>
      <c r="E15" s="31">
        <v>586.81121826171875</v>
      </c>
      <c r="F15" s="31">
        <v>630.5389404296875</v>
      </c>
      <c r="G15" s="31">
        <v>612.83917236328125</v>
      </c>
      <c r="H15" s="31">
        <v>617.82666015625</v>
      </c>
      <c r="I15" s="31">
        <v>625.2794189453125</v>
      </c>
      <c r="J15" s="31">
        <v>601.09942626953125</v>
      </c>
      <c r="K15" s="31">
        <v>611.19677734375</v>
      </c>
      <c r="L15" s="31">
        <v>596.317138671875</v>
      </c>
      <c r="M15" s="31">
        <v>616.18682861328125</v>
      </c>
      <c r="N15" s="31">
        <v>630.7618408203125</v>
      </c>
      <c r="O15" s="29">
        <f t="shared" si="0"/>
        <v>-4.1397779494632025E-2</v>
      </c>
      <c r="P15" s="29">
        <f t="shared" si="1"/>
        <v>4.9346935389488644E-2</v>
      </c>
    </row>
    <row r="16" spans="1:17" ht="18" customHeight="1">
      <c r="A16" s="187"/>
      <c r="B16" s="37" t="s">
        <v>193</v>
      </c>
      <c r="C16" s="33"/>
      <c r="D16" s="33">
        <v>904.68670654296875</v>
      </c>
      <c r="E16" s="33">
        <v>1029.782958984375</v>
      </c>
      <c r="F16" s="33">
        <v>1114.260009765625</v>
      </c>
      <c r="G16" s="33">
        <v>1017.5941162109375</v>
      </c>
      <c r="H16" s="33">
        <v>1131.01806640625</v>
      </c>
      <c r="I16" s="33">
        <v>1084.162109375</v>
      </c>
      <c r="J16" s="33">
        <v>1133.2276611328125</v>
      </c>
      <c r="K16" s="33">
        <v>1099.1907958984375</v>
      </c>
      <c r="L16" s="33">
        <v>849.83856201171875</v>
      </c>
      <c r="M16" s="33">
        <v>917.21405029296875</v>
      </c>
      <c r="N16" s="33">
        <v>1009.4115600585938</v>
      </c>
      <c r="O16" s="29">
        <f t="shared" si="0"/>
        <v>0.11575814340834577</v>
      </c>
      <c r="P16" s="29">
        <f t="shared" si="1"/>
        <v>-0.10925968834051228</v>
      </c>
    </row>
    <row r="17" spans="1:16" ht="18" customHeight="1">
      <c r="A17" s="187"/>
      <c r="B17" s="37" t="s">
        <v>200</v>
      </c>
      <c r="C17" s="33"/>
      <c r="D17" s="33">
        <f ca="1">1737.003875*OFFSET(D$113,MATCH($N$1,$C$113:$C$114,0)-1,0)</f>
        <v>1737.0038750000001</v>
      </c>
      <c r="E17" s="33">
        <f ca="1">1784.624125*OFFSET(E$113,MATCH($N$1,$C$113:$C$114,0)-1,0)</f>
        <v>1784.624125</v>
      </c>
      <c r="F17" s="33">
        <f ca="1">2121.865*OFFSET(F$113,MATCH($N$1,$C$113:$C$114,0)-1,0)</f>
        <v>2121.8649999999998</v>
      </c>
      <c r="G17" s="33">
        <f ca="1">1880.244375*OFFSET(G$113,MATCH($N$1,$C$113:$C$114,0)-1,0)</f>
        <v>1880.244375</v>
      </c>
      <c r="H17" s="33">
        <f ca="1">2286.94325*OFFSET(H$113,MATCH($N$1,$C$113:$C$114,0)-1,0)</f>
        <v>2286.9432499999998</v>
      </c>
      <c r="I17" s="33">
        <f ca="1">2339.27775*OFFSET(I$113,MATCH($N$1,$C$113:$C$114,0)-1,0)</f>
        <v>2339.2777500000002</v>
      </c>
      <c r="J17" s="33">
        <f ca="1">2538.92725*OFFSET(J$113,MATCH($N$1,$C$113:$C$114,0)-1,0)</f>
        <v>2538.9272500000002</v>
      </c>
      <c r="K17" s="33">
        <f ca="1">2427.76925*OFFSET(K$113,MATCH($N$1,$C$113:$C$114,0)-1,0)</f>
        <v>2427.7692499999998</v>
      </c>
      <c r="L17" s="33">
        <f ca="1">1611.744*OFFSET(L$113,MATCH($N$1,$C$113:$C$114,0)-1,0)</f>
        <v>1611.7439999999999</v>
      </c>
      <c r="M17" s="33">
        <f ca="1">1768.032875*OFFSET(M$113,MATCH($N$1,$C$113:$C$114,0)-1,0)</f>
        <v>1768.0328750000001</v>
      </c>
      <c r="N17" s="33">
        <v>2274.855</v>
      </c>
      <c r="O17" s="29">
        <f t="shared" ca="1" si="0"/>
        <v>0.30964301965071889</v>
      </c>
      <c r="P17" s="29">
        <f t="shared" ca="1" si="1"/>
        <v>-0.10400938033966911</v>
      </c>
    </row>
    <row r="18" spans="1:16" ht="18" customHeight="1">
      <c r="A18" s="187"/>
      <c r="B18" s="37" t="s">
        <v>195</v>
      </c>
      <c r="C18" s="31"/>
      <c r="D18" s="31">
        <v>200.34782409667969</v>
      </c>
      <c r="E18" s="31">
        <v>196.53060913085938</v>
      </c>
      <c r="F18" s="31">
        <v>215.33332824707031</v>
      </c>
      <c r="G18" s="31">
        <v>208.30232238769531</v>
      </c>
      <c r="H18" s="31">
        <v>206.40908813476563</v>
      </c>
      <c r="I18" s="31">
        <v>195.48837280273438</v>
      </c>
      <c r="J18" s="31">
        <v>226.88888549804688</v>
      </c>
      <c r="K18" s="31">
        <v>217.30952453613281</v>
      </c>
      <c r="L18" s="31">
        <v>195.30952453613281</v>
      </c>
      <c r="M18" s="31">
        <v>207.36585998535156</v>
      </c>
      <c r="N18" s="31">
        <v>213.25640869140625</v>
      </c>
      <c r="O18" s="29">
        <f t="shared" si="0"/>
        <v>6.4430869927977891E-2</v>
      </c>
      <c r="P18" s="29">
        <f t="shared" si="1"/>
        <v>-6.008437467845016E-2</v>
      </c>
    </row>
    <row r="19" spans="1:16" ht="18" customHeight="1">
      <c r="A19" s="187"/>
      <c r="B19" s="37" t="s">
        <v>201</v>
      </c>
      <c r="C19" s="31"/>
      <c r="D19" s="31">
        <v>19.282608032226563</v>
      </c>
      <c r="E19" s="31">
        <v>22.306121826171875</v>
      </c>
      <c r="F19" s="31">
        <v>20.80555534362793</v>
      </c>
      <c r="G19" s="31">
        <v>22.069766998291016</v>
      </c>
      <c r="H19" s="31">
        <v>22.613636016845703</v>
      </c>
      <c r="I19" s="31">
        <v>21.79069709777832</v>
      </c>
      <c r="J19" s="31">
        <v>21.799999237060547</v>
      </c>
      <c r="K19" s="31">
        <v>20.404762268066406</v>
      </c>
      <c r="L19" s="31">
        <v>18.809524536132813</v>
      </c>
      <c r="M19" s="31">
        <v>19.658536911010742</v>
      </c>
      <c r="N19" s="31">
        <v>17.846153259277344</v>
      </c>
      <c r="O19" s="29">
        <f t="shared" si="0"/>
        <v>-7.4494838589702503E-2</v>
      </c>
      <c r="P19" s="29">
        <f t="shared" si="1"/>
        <v>-0.18136908789710257</v>
      </c>
    </row>
    <row r="20" spans="1:16" ht="18" customHeight="1">
      <c r="A20" s="187"/>
      <c r="B20" s="37" t="s">
        <v>202</v>
      </c>
      <c r="C20" s="38"/>
      <c r="D20" s="38">
        <v>4.5155801773071289</v>
      </c>
      <c r="E20" s="38">
        <v>5.239809513092041</v>
      </c>
      <c r="F20" s="38">
        <v>5.1745820045471191</v>
      </c>
      <c r="G20" s="38">
        <v>4.8851790428161621</v>
      </c>
      <c r="H20" s="38">
        <v>5.4794974327087402</v>
      </c>
      <c r="I20" s="38">
        <v>5.5459160804748535</v>
      </c>
      <c r="J20" s="38">
        <v>4.9946370124816895</v>
      </c>
      <c r="K20" s="38">
        <v>5.0581803321838379</v>
      </c>
      <c r="L20" s="38">
        <v>4.3512396812438965</v>
      </c>
      <c r="M20" s="38">
        <v>4.4231681823730469</v>
      </c>
      <c r="N20" s="38">
        <v>4.7333235740661621</v>
      </c>
      <c r="O20" s="29">
        <f t="shared" si="0"/>
        <v>4.8220469620558197E-2</v>
      </c>
      <c r="P20" s="29">
        <f t="shared" si="1"/>
        <v>-5.2318804702423873E-2</v>
      </c>
    </row>
    <row r="21" spans="1:16" ht="18" customHeight="1">
      <c r="A21" s="188"/>
      <c r="B21" s="39" t="s">
        <v>203</v>
      </c>
      <c r="C21" s="40"/>
      <c r="D21" s="40">
        <f ca="1">1920*OFFSET(D$113,MATCH($N$1,$C$113:$C$114,0)-1,0)</f>
        <v>1920</v>
      </c>
      <c r="E21" s="40">
        <f ca="1">1733*OFFSET(E$113,MATCH($N$1,$C$113:$C$114,0)-1,0)</f>
        <v>1733</v>
      </c>
      <c r="F21" s="40">
        <f ca="1">1904*OFFSET(F$113,MATCH($N$1,$C$113:$C$114,0)-1,0)</f>
        <v>1904</v>
      </c>
      <c r="G21" s="40">
        <f ca="1">1848*OFFSET(G$113,MATCH($N$1,$C$113:$C$114,0)-1,0)</f>
        <v>1848</v>
      </c>
      <c r="H21" s="40">
        <f ca="1">2022*OFFSET(H$113,MATCH($N$1,$C$113:$C$114,0)-1,0)</f>
        <v>2022</v>
      </c>
      <c r="I21" s="40">
        <f ca="1">2158*OFFSET(I$113,MATCH($N$1,$C$113:$C$114,0)-1,0)</f>
        <v>2158</v>
      </c>
      <c r="J21" s="40">
        <f ca="1">2240*OFFSET(J$113,MATCH($N$1,$C$113:$C$114,0)-1,0)</f>
        <v>2240</v>
      </c>
      <c r="K21" s="40">
        <f ca="1">2209*OFFSET(K$113,MATCH($N$1,$C$113:$C$114,0)-1,0)</f>
        <v>2209</v>
      </c>
      <c r="L21" s="40">
        <f ca="1">1897*OFFSET(L$113,MATCH($N$1,$C$113:$C$114,0)-1,0)</f>
        <v>1897</v>
      </c>
      <c r="M21" s="40">
        <f ca="1">1928*OFFSET(M$113,MATCH($N$1,$C$113:$C$114,0)-1,0)</f>
        <v>1928</v>
      </c>
      <c r="N21" s="40">
        <v>2254</v>
      </c>
      <c r="O21" s="34">
        <f t="shared" ca="1" si="0"/>
        <v>0.17395833333333333</v>
      </c>
      <c r="P21" s="34">
        <f t="shared" ca="1" si="1"/>
        <v>6.2500000000000003E-3</v>
      </c>
    </row>
    <row r="22" spans="1:16" ht="18" customHeight="1">
      <c r="A22" s="189" t="s">
        <v>204</v>
      </c>
      <c r="B22" s="35" t="s">
        <v>205</v>
      </c>
      <c r="C22" s="41"/>
      <c r="D22" s="41">
        <v>4.9229078935666379</v>
      </c>
      <c r="E22" s="41">
        <v>6.5218807494104132</v>
      </c>
      <c r="F22" s="41">
        <v>5.9072705216827153</v>
      </c>
      <c r="G22" s="41">
        <v>5.6670269523047017</v>
      </c>
      <c r="H22" s="41">
        <v>6.1898789476587153</v>
      </c>
      <c r="I22" s="41">
        <v>6.3036385768676633</v>
      </c>
      <c r="J22" s="41">
        <v>5.9475518317611984</v>
      </c>
      <c r="K22" s="41">
        <v>5.9371070047913292</v>
      </c>
      <c r="L22" s="41">
        <v>5.2975157108727036</v>
      </c>
      <c r="M22" s="41">
        <v>5.0287486367302883</v>
      </c>
      <c r="N22" s="41">
        <v>5.5183192460771169</v>
      </c>
      <c r="O22" s="29">
        <f t="shared" si="0"/>
        <v>0.12094708359028519</v>
      </c>
      <c r="P22" s="29">
        <f t="shared" si="1"/>
        <v>-7.2169625053435896E-2</v>
      </c>
    </row>
    <row r="23" spans="1:16" ht="18" customHeight="1">
      <c r="A23" s="189"/>
      <c r="B23" s="37" t="s">
        <v>206</v>
      </c>
      <c r="C23" s="38"/>
      <c r="D23" s="38">
        <f ca="1">9.45201253157487*OFFSET(D$113,MATCH($N$1,$C$113:$C$114,0)-1,0)</f>
        <v>9.4520125315748693</v>
      </c>
      <c r="E23" s="38">
        <f ca="1">11.3024842994586*OFFSET(E$113,MATCH($N$1,$C$113:$C$114,0)-1,0)</f>
        <v>11.3024842994586</v>
      </c>
      <c r="F23" s="38">
        <f ca="1">11.2491074395884*OFFSET(F$113,MATCH($N$1,$C$113:$C$114,0)-1,0)</f>
        <v>11.2491074395884</v>
      </c>
      <c r="G23" s="38">
        <f ca="1">10.4711646621152*OFFSET(G$113,MATCH($N$1,$C$113:$C$114,0)-1,0)</f>
        <v>10.4711646621152</v>
      </c>
      <c r="H23" s="38">
        <f ca="1">12.5160705192313*OFFSET(H$113,MATCH($N$1,$C$113:$C$114,0)-1,0)</f>
        <v>12.516070519231301</v>
      </c>
      <c r="I23" s="38">
        <f ca="1">13.6012514543687*OFFSET(I$113,MATCH($N$1,$C$113:$C$114,0)-1,0)</f>
        <v>13.6012514543687</v>
      </c>
      <c r="J23" s="38">
        <f ca="1">13.325126039856*OFFSET(J$113,MATCH($N$1,$C$113:$C$114,0)-1,0)</f>
        <v>13.325126039856</v>
      </c>
      <c r="K23" s="38">
        <f ca="1">13.1132155345338*OFFSET(K$113,MATCH($N$1,$C$113:$C$114,0)-1,0)</f>
        <v>13.113215534533801</v>
      </c>
      <c r="L23" s="38">
        <f ca="1">10.0468954264599*OFFSET(L$113,MATCH($N$1,$C$113:$C$114,0)-1,0)</f>
        <v>10.0468954264599</v>
      </c>
      <c r="M23" s="38">
        <f ca="1">9.69347657399131*OFFSET(M$113,MATCH($N$1,$C$113:$C$114,0)-1,0)</f>
        <v>9.69347657399131</v>
      </c>
      <c r="N23" s="38">
        <v>12.436330853795718</v>
      </c>
      <c r="O23" s="29">
        <f t="shared" ca="1" si="0"/>
        <v>0.31573364003185572</v>
      </c>
      <c r="P23" s="29">
        <f t="shared" ca="1" si="1"/>
        <v>-6.6700696368789225E-2</v>
      </c>
    </row>
    <row r="24" spans="1:16" ht="18" customHeight="1">
      <c r="A24" s="189"/>
      <c r="B24" s="37" t="s">
        <v>153</v>
      </c>
      <c r="C24" s="38"/>
      <c r="D24" s="38">
        <f ca="1">9.39839844657038*OFFSET(D$113,MATCH($N$1,$C$113:$C$114,0)-1,0)</f>
        <v>9.3983984465703791</v>
      </c>
      <c r="E24" s="38">
        <f ca="1">10.7190613686724*OFFSET(E$113,MATCH($N$1,$C$113:$C$114,0)-1,0)</f>
        <v>10.719061368672399</v>
      </c>
      <c r="F24" s="38">
        <f ca="1">10.373363860142*OFFSET(F$113,MATCH($N$1,$C$113:$C$114,0)-1,0)</f>
        <v>10.373363860142</v>
      </c>
      <c r="G24" s="38">
        <f ca="1">9.36709418655272*OFFSET(G$113,MATCH($N$1,$C$113:$C$114,0)-1,0)</f>
        <v>9.3670941865527197</v>
      </c>
      <c r="H24" s="38">
        <f ca="1">10.7086620492444*OFFSET(H$113,MATCH($N$1,$C$113:$C$114,0)-1,0)</f>
        <v>10.708662049244399</v>
      </c>
      <c r="I24" s="38">
        <f ca="1">11.8165610751286*OFFSET(I$113,MATCH($N$1,$C$113:$C$114,0)-1,0)</f>
        <v>11.8165610751286</v>
      </c>
      <c r="J24" s="38">
        <f ca="1">11.3104531464841*OFFSET(J$113,MATCH($N$1,$C$113:$C$114,0)-1,0)</f>
        <v>11.3104531464841</v>
      </c>
      <c r="K24" s="38">
        <f ca="1">11.5947589751761*OFFSET(K$113,MATCH($N$1,$C$113:$C$114,0)-1,0)</f>
        <v>11.5947589751761</v>
      </c>
      <c r="L24" s="38">
        <f ca="1">9.12075317127258*OFFSET(L$113,MATCH($N$1,$C$113:$C$114,0)-1,0)</f>
        <v>9.1207531712725807</v>
      </c>
      <c r="M24" s="38">
        <f ca="1">8.95248891008841*OFFSET(M$113,MATCH($N$1,$C$113:$C$114,0)-1,0)</f>
        <v>8.9524889100884106</v>
      </c>
      <c r="N24" s="38">
        <v>12.013817699786458</v>
      </c>
      <c r="O24" s="29">
        <f t="shared" ca="1" si="0"/>
        <v>0.27828350416133779</v>
      </c>
      <c r="P24" s="29">
        <f t="shared" ca="1" si="1"/>
        <v>6.2187124087154814E-2</v>
      </c>
    </row>
    <row r="25" spans="1:16" ht="18" customHeight="1">
      <c r="A25" s="189"/>
      <c r="B25" s="37" t="s">
        <v>154</v>
      </c>
      <c r="C25" s="38"/>
      <c r="D25" s="38">
        <f ca="1">0.555215476887777*OFFSET(D$113,MATCH($N$1,$C$113:$C$114,0)-1,0)</f>
        <v>0.55521547688777695</v>
      </c>
      <c r="E25" s="38">
        <f ca="1">0.9392762313634*OFFSET(E$113,MATCH($N$1,$C$113:$C$114,0)-1,0)</f>
        <v>0.93927623136339999</v>
      </c>
      <c r="F25" s="38">
        <f ca="1">1.49759890894741*OFFSET(F$113,MATCH($N$1,$C$113:$C$114,0)-1,0)</f>
        <v>1.49759890894741</v>
      </c>
      <c r="G25" s="38">
        <f ca="1">1.46279534535777*OFFSET(G$113,MATCH($N$1,$C$113:$C$114,0)-1,0)</f>
        <v>1.46279534535777</v>
      </c>
      <c r="H25" s="38">
        <f ca="1">2.15125573846332*OFFSET(H$113,MATCH($N$1,$C$113:$C$114,0)-1,0)</f>
        <v>2.1512557384633202</v>
      </c>
      <c r="I25" s="38">
        <f ca="1">2.26434965790595*OFFSET(I$113,MATCH($N$1,$C$113:$C$114,0)-1,0)</f>
        <v>2.2643496579059499</v>
      </c>
      <c r="J25" s="38">
        <f ca="1">2.23716068014082*OFFSET(J$113,MATCH($N$1,$C$113:$C$114,0)-1,0)</f>
        <v>2.2371606801408199</v>
      </c>
      <c r="K25" s="38">
        <f ca="1">2.26003046357705*OFFSET(K$113,MATCH($N$1,$C$113:$C$114,0)-1,0)</f>
        <v>2.2600304635770501</v>
      </c>
      <c r="L25" s="38">
        <f ca="1">1.34311933343034*OFFSET(L$113,MATCH($N$1,$C$113:$C$114,0)-1,0)</f>
        <v>1.34311933343034</v>
      </c>
      <c r="M25" s="38">
        <f ca="1">0.99552137361904*OFFSET(M$113,MATCH($N$1,$C$113:$C$114,0)-1,0)</f>
        <v>0.99552137361904003</v>
      </c>
      <c r="N25" s="38">
        <v>0.74906941529374971</v>
      </c>
      <c r="O25" s="29">
        <f t="shared" ca="1" si="0"/>
        <v>0.34915081887235561</v>
      </c>
      <c r="P25" s="29">
        <f t="shared" ca="1" si="1"/>
        <v>-0.66516959557567457</v>
      </c>
    </row>
    <row r="26" spans="1:16" ht="18" customHeight="1">
      <c r="A26" s="189"/>
      <c r="B26" s="37" t="s">
        <v>207</v>
      </c>
      <c r="C26" s="33"/>
      <c r="D26" s="33">
        <f ca="1">124.92*OFFSET(D$113,MATCH($N$1,$C$113:$C$114,0)-1,0)</f>
        <v>124.92</v>
      </c>
      <c r="E26" s="33">
        <f ca="1">142.68*OFFSET(E$113,MATCH($N$1,$C$113:$C$114,0)-1,0)</f>
        <v>142.68</v>
      </c>
      <c r="F26" s="33">
        <f ca="1">184.02*OFFSET(F$113,MATCH($N$1,$C$113:$C$114,0)-1,0)</f>
        <v>184.02</v>
      </c>
      <c r="G26" s="33">
        <f ca="1">147.74*OFFSET(G$113,MATCH($N$1,$C$113:$C$114,0)-1,0)</f>
        <v>147.74</v>
      </c>
      <c r="H26" s="33">
        <f ca="1">157.71*OFFSET(H$113,MATCH($N$1,$C$113:$C$114,0)-1,0)</f>
        <v>157.71</v>
      </c>
      <c r="I26" s="33">
        <f ca="1">196.56*OFFSET(I$113,MATCH($N$1,$C$113:$C$114,0)-1,0)</f>
        <v>196.56</v>
      </c>
      <c r="J26" s="33">
        <f ca="1">217.99*OFFSET(J$113,MATCH($N$1,$C$113:$C$114,0)-1,0)</f>
        <v>217.99</v>
      </c>
      <c r="K26" s="33">
        <f ca="1">125.23*OFFSET(K$113,MATCH($N$1,$C$113:$C$114,0)-1,0)</f>
        <v>125.23</v>
      </c>
      <c r="L26" s="33">
        <f ca="1">117.24*OFFSET(L$113,MATCH($N$1,$C$113:$C$114,0)-1,0)</f>
        <v>117.24</v>
      </c>
      <c r="M26" s="33">
        <f ca="1">143.87*OFFSET(M$113,MATCH($N$1,$C$113:$C$114,0)-1,0)</f>
        <v>143.87</v>
      </c>
      <c r="N26" s="33">
        <v>185.36</v>
      </c>
      <c r="O26" s="29">
        <f t="shared" ca="1" si="0"/>
        <v>0.48382965097662511</v>
      </c>
      <c r="P26" s="29">
        <f t="shared" ca="1" si="1"/>
        <v>-0.14968576540208264</v>
      </c>
    </row>
    <row r="27" spans="1:16" ht="18" customHeight="1">
      <c r="A27" s="190"/>
      <c r="B27" s="37" t="s">
        <v>208</v>
      </c>
      <c r="C27" s="33"/>
      <c r="D27" s="33">
        <f ca="1">7.34*OFFSET(D$113,MATCH($N$1,$C$113:$C$114,0)-1,0)</f>
        <v>7.34</v>
      </c>
      <c r="E27" s="33">
        <f ca="1">11.86*OFFSET(E$113,MATCH($N$1,$C$113:$C$114,0)-1,0)</f>
        <v>11.86</v>
      </c>
      <c r="F27" s="33">
        <f ca="1">24.5*OFFSET(F$113,MATCH($N$1,$C$113:$C$114,0)-1,0)</f>
        <v>24.5</v>
      </c>
      <c r="G27" s="33">
        <f ca="1">20.64*OFFSET(G$113,MATCH($N$1,$C$113:$C$114,0)-1,0)</f>
        <v>20.64</v>
      </c>
      <c r="H27" s="33">
        <f ca="1">27.11*OFFSET(H$113,MATCH($N$1,$C$113:$C$114,0)-1,0)</f>
        <v>27.11</v>
      </c>
      <c r="I27" s="33">
        <f ca="1">32.72*OFFSET(I$113,MATCH($N$1,$C$113:$C$114,0)-1,0)</f>
        <v>32.72</v>
      </c>
      <c r="J27" s="33">
        <f ca="1">36.6*OFFSET(J$113,MATCH($N$1,$C$113:$C$114,0)-1,0)</f>
        <v>36.6</v>
      </c>
      <c r="K27" s="33">
        <f ca="1">21.58*OFFSET(K$113,MATCH($N$1,$C$113:$C$114,0)-1,0)</f>
        <v>21.58</v>
      </c>
      <c r="L27" s="33">
        <f ca="1">15.68*OFFSET(L$113,MATCH($N$1,$C$113:$C$114,0)-1,0)</f>
        <v>15.68</v>
      </c>
      <c r="M27" s="33">
        <f ca="1">14.78*OFFSET(M$113,MATCH($N$1,$C$113:$C$114,0)-1,0)</f>
        <v>14.78</v>
      </c>
      <c r="N27" s="33">
        <v>11.16</v>
      </c>
      <c r="O27" s="34">
        <f t="shared" ca="1" si="0"/>
        <v>0.52043596730245234</v>
      </c>
      <c r="P27" s="34">
        <f t="shared" ca="1" si="1"/>
        <v>-0.69508196721311477</v>
      </c>
    </row>
    <row r="28" spans="1:16" s="78" customFormat="1" ht="18" customHeight="1">
      <c r="A28" s="191" t="s">
        <v>209</v>
      </c>
      <c r="B28" s="82" t="s">
        <v>200</v>
      </c>
      <c r="C28" s="83"/>
      <c r="D28" s="83">
        <f ca="1">1737*OFFSET(D$113,MATCH($N$1,$C$113:$C$114,0)-1,0)</f>
        <v>1737</v>
      </c>
      <c r="E28" s="83">
        <f ca="1">1784.6*OFFSET(E$113,MATCH($N$1,$C$113:$C$114,0)-1,0)</f>
        <v>1784.6</v>
      </c>
      <c r="F28" s="83">
        <f ca="1">2121.9*OFFSET(F$113,MATCH($N$1,$C$113:$C$114,0)-1,0)</f>
        <v>2121.9</v>
      </c>
      <c r="G28" s="83">
        <f ca="1">1880.2*OFFSET(G$113,MATCH($N$1,$C$113:$C$114,0)-1,0)</f>
        <v>1880.2</v>
      </c>
      <c r="H28" s="83">
        <f ca="1">2286.9*OFFSET(H$113,MATCH($N$1,$C$113:$C$114,0)-1,0)</f>
        <v>2286.9</v>
      </c>
      <c r="I28" s="83">
        <f ca="1">2339.3*OFFSET(I$113,MATCH($N$1,$C$113:$C$114,0)-1,0)</f>
        <v>2339.3000000000002</v>
      </c>
      <c r="J28" s="83">
        <f ca="1">2538.9*OFFSET(J$113,MATCH($N$1,$C$113:$C$114,0)-1,0)</f>
        <v>2538.9</v>
      </c>
      <c r="K28" s="83">
        <f ca="1">2427.8*OFFSET(K$113,MATCH($N$1,$C$113:$C$114,0)-1,0)</f>
        <v>2427.8000000000002</v>
      </c>
      <c r="L28" s="83">
        <f ca="1">1611.7*OFFSET(L$113,MATCH($N$1,$C$113:$C$114,0)-1,0)</f>
        <v>1611.7</v>
      </c>
      <c r="M28" s="83">
        <f ca="1">1768*OFFSET(M$113,MATCH($N$1,$C$113:$C$114,0)-1,0)</f>
        <v>1768</v>
      </c>
      <c r="N28" s="83">
        <v>2274.9</v>
      </c>
      <c r="O28" s="84">
        <f t="shared" ca="1" si="0"/>
        <v>0.30967184801381697</v>
      </c>
      <c r="P28" s="84">
        <f t="shared" ca="1" si="1"/>
        <v>-0.10398203946591043</v>
      </c>
    </row>
    <row r="29" spans="1:16" s="78" customFormat="1" ht="18" customHeight="1">
      <c r="A29" s="192"/>
      <c r="B29" s="85" t="s">
        <v>210</v>
      </c>
      <c r="C29" s="86"/>
      <c r="D29" s="86">
        <f ca="1">92.2*OFFSET(D$113,MATCH($N$1,$C$113:$C$114,0)-1,0)</f>
        <v>92.2</v>
      </c>
      <c r="E29" s="86">
        <f ca="1">56.2*OFFSET(E$113,MATCH($N$1,$C$113:$C$114,0)-1,0)</f>
        <v>56.2</v>
      </c>
      <c r="F29" s="86">
        <f ca="1">117.3*OFFSET(F$113,MATCH($N$1,$C$113:$C$114,0)-1,0)</f>
        <v>117.3</v>
      </c>
      <c r="G29" s="86">
        <f ca="1">64.4*OFFSET(G$113,MATCH($N$1,$C$113:$C$114,0)-1,0)</f>
        <v>64.400000000000006</v>
      </c>
      <c r="H29" s="86">
        <f ca="1">62.8*OFFSET(H$113,MATCH($N$1,$C$113:$C$114,0)-1,0)</f>
        <v>62.8</v>
      </c>
      <c r="I29" s="86">
        <f ca="1">82.5*OFFSET(I$113,MATCH($N$1,$C$113:$C$114,0)-1,0)</f>
        <v>82.5</v>
      </c>
      <c r="J29" s="86">
        <f ca="1">42.4*OFFSET(J$113,MATCH($N$1,$C$113:$C$114,0)-1,0)</f>
        <v>42.4</v>
      </c>
      <c r="K29" s="86">
        <f ca="1">137.3*OFFSET(K$113,MATCH($N$1,$C$113:$C$114,0)-1,0)</f>
        <v>137.30000000000001</v>
      </c>
      <c r="L29" s="86">
        <f ca="1">66.9*OFFSET(L$113,MATCH($N$1,$C$113:$C$114,0)-1,0)</f>
        <v>66.900000000000006</v>
      </c>
      <c r="M29" s="86">
        <f ca="1">46.4*OFFSET(M$113,MATCH($N$1,$C$113:$C$114,0)-1,0)</f>
        <v>46.4</v>
      </c>
      <c r="N29" s="86">
        <v>59.7</v>
      </c>
      <c r="O29" s="84">
        <f t="shared" ca="1" si="0"/>
        <v>-0.3524945770065076</v>
      </c>
      <c r="P29" s="84">
        <f t="shared" ca="1" si="1"/>
        <v>0.40801886792452841</v>
      </c>
    </row>
    <row r="30" spans="1:16" s="78" customFormat="1" ht="18" customHeight="1">
      <c r="A30" s="192"/>
      <c r="B30" s="87" t="s">
        <v>211</v>
      </c>
      <c r="C30" s="88"/>
      <c r="D30" s="88">
        <f ca="1">1829.2*OFFSET(D$113,MATCH($N$1,$C$113:$C$114,0)-1,0)</f>
        <v>1829.2</v>
      </c>
      <c r="E30" s="88">
        <f ca="1">1840.8*OFFSET(E$113,MATCH($N$1,$C$113:$C$114,0)-1,0)</f>
        <v>1840.8</v>
      </c>
      <c r="F30" s="88">
        <f ca="1">2239.2*OFFSET(F$113,MATCH($N$1,$C$113:$C$114,0)-1,0)</f>
        <v>2239.1999999999998</v>
      </c>
      <c r="G30" s="88">
        <f ca="1">1944.7*OFFSET(G$113,MATCH($N$1,$C$113:$C$114,0)-1,0)</f>
        <v>1944.7</v>
      </c>
      <c r="H30" s="88">
        <f ca="1">2349.8*OFFSET(H$113,MATCH($N$1,$C$113:$C$114,0)-1,0)</f>
        <v>2349.8000000000002</v>
      </c>
      <c r="I30" s="88">
        <f ca="1">2421.8*OFFSET(I$113,MATCH($N$1,$C$113:$C$114,0)-1,0)</f>
        <v>2421.8000000000002</v>
      </c>
      <c r="J30" s="88">
        <f ca="1">2581.3*OFFSET(J$113,MATCH($N$1,$C$113:$C$114,0)-1,0)</f>
        <v>2581.3000000000002</v>
      </c>
      <c r="K30" s="88">
        <f ca="1">2565.1*OFFSET(K$113,MATCH($N$1,$C$113:$C$114,0)-1,0)</f>
        <v>2565.1</v>
      </c>
      <c r="L30" s="88">
        <f ca="1">1678.6*OFFSET(L$113,MATCH($N$1,$C$113:$C$114,0)-1,0)</f>
        <v>1678.6</v>
      </c>
      <c r="M30" s="88">
        <f ca="1">1814.5*OFFSET(M$113,MATCH($N$1,$C$113:$C$114,0)-1,0)</f>
        <v>1814.5</v>
      </c>
      <c r="N30" s="88">
        <v>2334.6</v>
      </c>
      <c r="O30" s="84">
        <f t="shared" ca="1" si="0"/>
        <v>0.27629564837087245</v>
      </c>
      <c r="P30" s="84">
        <f t="shared" ca="1" si="1"/>
        <v>-9.5571998605353994E-2</v>
      </c>
    </row>
    <row r="31" spans="1:16" s="78" customFormat="1" ht="18" customHeight="1">
      <c r="A31" s="192"/>
      <c r="B31" s="85" t="s">
        <v>212</v>
      </c>
      <c r="C31" s="86"/>
      <c r="D31" s="86">
        <f ca="1">572.5*OFFSET(D$113,MATCH($N$1,$C$113:$C$114,0)-1,0)</f>
        <v>572.5</v>
      </c>
      <c r="E31" s="86">
        <f ca="1">489.8*OFFSET(E$113,MATCH($N$1,$C$113:$C$114,0)-1,0)</f>
        <v>489.8</v>
      </c>
      <c r="F31" s="86">
        <f ca="1">509.3*OFFSET(F$113,MATCH($N$1,$C$113:$C$114,0)-1,0)</f>
        <v>509.3</v>
      </c>
      <c r="G31" s="86">
        <f ca="1">338.1*OFFSET(G$113,MATCH($N$1,$C$113:$C$114,0)-1,0)</f>
        <v>338.1</v>
      </c>
      <c r="H31" s="86">
        <f ca="1">319.4*OFFSET(H$113,MATCH($N$1,$C$113:$C$114,0)-1,0)</f>
        <v>319.39999999999998</v>
      </c>
      <c r="I31" s="86">
        <f ca="1">361.5*OFFSET(I$113,MATCH($N$1,$C$113:$C$114,0)-1,0)</f>
        <v>361.5</v>
      </c>
      <c r="J31" s="86">
        <f ca="1">481.7*OFFSET(J$113,MATCH($N$1,$C$113:$C$114,0)-1,0)</f>
        <v>481.7</v>
      </c>
      <c r="K31" s="86">
        <f ca="1">448.9*OFFSET(K$113,MATCH($N$1,$C$113:$C$114,0)-1,0)</f>
        <v>448.9</v>
      </c>
      <c r="L31" s="86">
        <f ca="1">282.7*OFFSET(L$113,MATCH($N$1,$C$113:$C$114,0)-1,0)</f>
        <v>282.7</v>
      </c>
      <c r="M31" s="86">
        <f ca="1">389.8*OFFSET(M$113,MATCH($N$1,$C$113:$C$114,0)-1,0)</f>
        <v>389.8</v>
      </c>
      <c r="N31" s="86">
        <v>681.4</v>
      </c>
      <c r="O31" s="84">
        <f t="shared" ca="1" si="0"/>
        <v>0.19021834061135368</v>
      </c>
      <c r="P31" s="84">
        <f t="shared" ca="1" si="1"/>
        <v>0.41457338592484949</v>
      </c>
    </row>
    <row r="32" spans="1:16" s="78" customFormat="1" ht="18" customHeight="1">
      <c r="A32" s="192"/>
      <c r="B32" s="85" t="s">
        <v>213</v>
      </c>
      <c r="C32" s="86"/>
      <c r="D32" s="86">
        <f ca="1">351.3*OFFSET(D$113,MATCH($N$1,$C$113:$C$114,0)-1,0)</f>
        <v>351.3</v>
      </c>
      <c r="E32" s="86">
        <f ca="1">383.2*OFFSET(E$113,MATCH($N$1,$C$113:$C$114,0)-1,0)</f>
        <v>383.2</v>
      </c>
      <c r="F32" s="86">
        <f ca="1">487.1*OFFSET(F$113,MATCH($N$1,$C$113:$C$114,0)-1,0)</f>
        <v>487.1</v>
      </c>
      <c r="G32" s="86">
        <f ca="1">457.6*OFFSET(G$113,MATCH($N$1,$C$113:$C$114,0)-1,0)</f>
        <v>457.6</v>
      </c>
      <c r="H32" s="86">
        <f ca="1">609.9*OFFSET(H$113,MATCH($N$1,$C$113:$C$114,0)-1,0)</f>
        <v>609.9</v>
      </c>
      <c r="I32" s="86">
        <f ca="1">623.4*OFFSET(I$113,MATCH($N$1,$C$113:$C$114,0)-1,0)</f>
        <v>623.4</v>
      </c>
      <c r="J32" s="86">
        <f ca="1">629.4*OFFSET(J$113,MATCH($N$1,$C$113:$C$114,0)-1,0)</f>
        <v>629.4</v>
      </c>
      <c r="K32" s="86">
        <f ca="1">651.4*OFFSET(K$113,MATCH($N$1,$C$113:$C$114,0)-1,0)</f>
        <v>651.4</v>
      </c>
      <c r="L32" s="86">
        <f ca="1">449.4*OFFSET(L$113,MATCH($N$1,$C$113:$C$114,0)-1,0)</f>
        <v>449.4</v>
      </c>
      <c r="M32" s="86">
        <f ca="1">454.8*OFFSET(M$113,MATCH($N$1,$C$113:$C$114,0)-1,0)</f>
        <v>454.8</v>
      </c>
      <c r="N32" s="86">
        <v>502</v>
      </c>
      <c r="O32" s="84">
        <f t="shared" ca="1" si="0"/>
        <v>0.42897808141189864</v>
      </c>
      <c r="P32" s="84">
        <f t="shared" ca="1" si="1"/>
        <v>-0.20241499841118524</v>
      </c>
    </row>
    <row r="33" spans="1:16" s="78" customFormat="1" ht="18" customHeight="1">
      <c r="A33" s="192"/>
      <c r="B33" s="85" t="s">
        <v>214</v>
      </c>
      <c r="C33" s="86"/>
      <c r="D33" s="86">
        <f ca="1">474.8*OFFSET(D$113,MATCH($N$1,$C$113:$C$114,0)-1,0)</f>
        <v>474.8</v>
      </c>
      <c r="E33" s="86">
        <f ca="1">486.6*OFFSET(E$113,MATCH($N$1,$C$113:$C$114,0)-1,0)</f>
        <v>486.6</v>
      </c>
      <c r="F33" s="86">
        <f ca="1">597.7*OFFSET(F$113,MATCH($N$1,$C$113:$C$114,0)-1,0)</f>
        <v>597.70000000000005</v>
      </c>
      <c r="G33" s="86">
        <f ca="1">518.2*OFFSET(G$113,MATCH($N$1,$C$113:$C$114,0)-1,0)</f>
        <v>518.20000000000005</v>
      </c>
      <c r="H33" s="86">
        <f ca="1">614.1*OFFSET(H$113,MATCH($N$1,$C$113:$C$114,0)-1,0)</f>
        <v>614.1</v>
      </c>
      <c r="I33" s="86">
        <f ca="1">634.2*OFFSET(I$113,MATCH($N$1,$C$113:$C$114,0)-1,0)</f>
        <v>634.20000000000005</v>
      </c>
      <c r="J33" s="86">
        <f ca="1">653.5*OFFSET(J$113,MATCH($N$1,$C$113:$C$114,0)-1,0)</f>
        <v>653.5</v>
      </c>
      <c r="K33" s="86">
        <f ca="1">595.7*OFFSET(K$113,MATCH($N$1,$C$113:$C$114,0)-1,0)</f>
        <v>595.70000000000005</v>
      </c>
      <c r="L33" s="86">
        <f ca="1">396.7*OFFSET(L$113,MATCH($N$1,$C$113:$C$114,0)-1,0)</f>
        <v>396.7</v>
      </c>
      <c r="M33" s="86">
        <f ca="1">395.4*OFFSET(M$113,MATCH($N$1,$C$113:$C$114,0)-1,0)</f>
        <v>395.4</v>
      </c>
      <c r="N33" s="86">
        <v>508.8</v>
      </c>
      <c r="O33" s="84">
        <f t="shared" ca="1" si="0"/>
        <v>7.1609098567818025E-2</v>
      </c>
      <c r="P33" s="84">
        <f t="shared" ca="1" si="1"/>
        <v>-0.22142310635042078</v>
      </c>
    </row>
    <row r="34" spans="1:16" s="78" customFormat="1" ht="18" customHeight="1">
      <c r="A34" s="192"/>
      <c r="B34" s="85" t="s">
        <v>215</v>
      </c>
      <c r="C34" s="86"/>
      <c r="D34" s="86">
        <f ca="1">1398.6*OFFSET(D$113,MATCH($N$1,$C$113:$C$114,0)-1,0)</f>
        <v>1398.6</v>
      </c>
      <c r="E34" s="86">
        <f ca="1">1359.6*OFFSET(E$113,MATCH($N$1,$C$113:$C$114,0)-1,0)</f>
        <v>1359.6</v>
      </c>
      <c r="F34" s="86">
        <f ca="1">1594.1*OFFSET(F$113,MATCH($N$1,$C$113:$C$114,0)-1,0)</f>
        <v>1594.1</v>
      </c>
      <c r="G34" s="86">
        <f ca="1">1313.9*OFFSET(G$113,MATCH($N$1,$C$113:$C$114,0)-1,0)</f>
        <v>1313.9</v>
      </c>
      <c r="H34" s="86">
        <f ca="1">1543.4*OFFSET(H$113,MATCH($N$1,$C$113:$C$114,0)-1,0)</f>
        <v>1543.4</v>
      </c>
      <c r="I34" s="86">
        <f ca="1">1619.1*OFFSET(I$113,MATCH($N$1,$C$113:$C$114,0)-1,0)</f>
        <v>1619.1</v>
      </c>
      <c r="J34" s="86">
        <f ca="1">1764.6*OFFSET(J$113,MATCH($N$1,$C$113:$C$114,0)-1,0)</f>
        <v>1764.6</v>
      </c>
      <c r="K34" s="86">
        <f ca="1">1695.9*OFFSET(K$113,MATCH($N$1,$C$113:$C$114,0)-1,0)</f>
        <v>1695.9</v>
      </c>
      <c r="L34" s="86">
        <f ca="1">1128.8*OFFSET(L$113,MATCH($N$1,$C$113:$C$114,0)-1,0)</f>
        <v>1128.8</v>
      </c>
      <c r="M34" s="86">
        <f ca="1">1240.1*OFFSET(M$113,MATCH($N$1,$C$113:$C$114,0)-1,0)</f>
        <v>1240.0999999999999</v>
      </c>
      <c r="N34" s="86">
        <v>1692.2</v>
      </c>
      <c r="O34" s="84">
        <f t="shared" ca="1" si="0"/>
        <v>0.20992420992421004</v>
      </c>
      <c r="P34" s="84">
        <f t="shared" ca="1" si="1"/>
        <v>-4.1029128414371452E-2</v>
      </c>
    </row>
    <row r="35" spans="1:16" s="78" customFormat="1" ht="18" customHeight="1">
      <c r="A35" s="192"/>
      <c r="B35" s="85" t="s">
        <v>216</v>
      </c>
      <c r="C35" s="86"/>
      <c r="D35" s="86">
        <f ca="1">328.6*OFFSET(D$113,MATCH($N$1,$C$113:$C$114,0)-1,0)</f>
        <v>328.6</v>
      </c>
      <c r="E35" s="86">
        <f ca="1">332.9*OFFSET(E$113,MATCH($N$1,$C$113:$C$114,0)-1,0)</f>
        <v>332.9</v>
      </c>
      <c r="F35" s="86">
        <f ca="1">362.6*OFFSET(F$113,MATCH($N$1,$C$113:$C$114,0)-1,0)</f>
        <v>362.6</v>
      </c>
      <c r="G35" s="86">
        <f ca="1">368.1*OFFSET(G$113,MATCH($N$1,$C$113:$C$114,0)-1,0)</f>
        <v>368.1</v>
      </c>
      <c r="H35" s="86">
        <f ca="1">413.2*OFFSET(H$113,MATCH($N$1,$C$113:$C$114,0)-1,0)</f>
        <v>413.2</v>
      </c>
      <c r="I35" s="86">
        <f ca="1">413.2*OFFSET(I$113,MATCH($N$1,$C$113:$C$114,0)-1,0)</f>
        <v>413.2</v>
      </c>
      <c r="J35" s="86">
        <f ca="1">390.4*OFFSET(J$113,MATCH($N$1,$C$113:$C$114,0)-1,0)</f>
        <v>390.4</v>
      </c>
      <c r="K35" s="86">
        <f ca="1">450.7*OFFSET(K$113,MATCH($N$1,$C$113:$C$114,0)-1,0)</f>
        <v>450.7</v>
      </c>
      <c r="L35" s="86">
        <f ca="1">334.4*OFFSET(L$113,MATCH($N$1,$C$113:$C$114,0)-1,0)</f>
        <v>334.4</v>
      </c>
      <c r="M35" s="86">
        <f ca="1">392.8*OFFSET(M$113,MATCH($N$1,$C$113:$C$114,0)-1,0)</f>
        <v>392.8</v>
      </c>
      <c r="N35" s="86">
        <v>505.40000000000003</v>
      </c>
      <c r="O35" s="84">
        <f t="shared" ca="1" si="0"/>
        <v>0.53804017041996344</v>
      </c>
      <c r="P35" s="84">
        <f t="shared" ca="1" si="1"/>
        <v>0.29456967213114771</v>
      </c>
    </row>
    <row r="36" spans="1:16" s="78" customFormat="1" ht="18" customHeight="1">
      <c r="A36" s="192"/>
      <c r="B36" s="85" t="s">
        <v>217</v>
      </c>
      <c r="C36" s="86"/>
      <c r="D36" s="86">
        <f ca="1">1727.2*OFFSET(D$113,MATCH($N$1,$C$113:$C$114,0)-1,0)</f>
        <v>1727.2</v>
      </c>
      <c r="E36" s="86">
        <f ca="1">1692.5*OFFSET(E$113,MATCH($N$1,$C$113:$C$114,0)-1,0)</f>
        <v>1692.5</v>
      </c>
      <c r="F36" s="86">
        <f ca="1">1956.7*OFFSET(F$113,MATCH($N$1,$C$113:$C$114,0)-1,0)</f>
        <v>1956.7</v>
      </c>
      <c r="G36" s="86">
        <f ca="1">1682*OFFSET(G$113,MATCH($N$1,$C$113:$C$114,0)-1,0)</f>
        <v>1682</v>
      </c>
      <c r="H36" s="86">
        <f ca="1">1956.7*OFFSET(H$113,MATCH($N$1,$C$113:$C$114,0)-1,0)</f>
        <v>1956.7</v>
      </c>
      <c r="I36" s="86">
        <f ca="1">2032.3*OFFSET(I$113,MATCH($N$1,$C$113:$C$114,0)-1,0)</f>
        <v>2032.3</v>
      </c>
      <c r="J36" s="86">
        <f ca="1">2155.1*OFFSET(J$113,MATCH($N$1,$C$113:$C$114,0)-1,0)</f>
        <v>2155.1</v>
      </c>
      <c r="K36" s="86">
        <f ca="1">2146.6*OFFSET(K$113,MATCH($N$1,$C$113:$C$114,0)-1,0)</f>
        <v>2146.6</v>
      </c>
      <c r="L36" s="86">
        <f ca="1">1463.2*OFFSET(L$113,MATCH($N$1,$C$113:$C$114,0)-1,0)</f>
        <v>1463.2</v>
      </c>
      <c r="M36" s="86">
        <f ca="1">1632.9*OFFSET(M$113,MATCH($N$1,$C$113:$C$114,0)-1,0)</f>
        <v>1632.9</v>
      </c>
      <c r="N36" s="86">
        <v>2197.6</v>
      </c>
      <c r="O36" s="84">
        <f t="shared" ca="1" si="0"/>
        <v>0.2723483094025011</v>
      </c>
      <c r="P36" s="84">
        <f t="shared" ca="1" si="1"/>
        <v>1.9720662614263841E-2</v>
      </c>
    </row>
    <row r="37" spans="1:16" s="78" customFormat="1" ht="18" customHeight="1">
      <c r="A37" s="192"/>
      <c r="B37" s="87" t="s">
        <v>218</v>
      </c>
      <c r="C37" s="88"/>
      <c r="D37" s="88">
        <f ca="1">453.3*OFFSET(D$113,MATCH($N$1,$C$113:$C$114,0)-1,0)</f>
        <v>453.3</v>
      </c>
      <c r="E37" s="88">
        <f ca="1">531.5*OFFSET(E$113,MATCH($N$1,$C$113:$C$114,0)-1,0)</f>
        <v>531.5</v>
      </c>
      <c r="F37" s="88">
        <f ca="1">769.6*OFFSET(F$113,MATCH($N$1,$C$113:$C$114,0)-1,0)</f>
        <v>769.6</v>
      </c>
      <c r="G37" s="88">
        <f ca="1">720.3*OFFSET(G$113,MATCH($N$1,$C$113:$C$114,0)-1,0)</f>
        <v>720.3</v>
      </c>
      <c r="H37" s="88">
        <f ca="1">1003*OFFSET(H$113,MATCH($N$1,$C$113:$C$114,0)-1,0)</f>
        <v>1003</v>
      </c>
      <c r="I37" s="88">
        <f ca="1">1012.8*OFFSET(I$113,MATCH($N$1,$C$113:$C$114,0)-1,0)</f>
        <v>1012.8</v>
      </c>
      <c r="J37" s="88">
        <f ca="1">1055.7*OFFSET(J$113,MATCH($N$1,$C$113:$C$114,0)-1,0)</f>
        <v>1055.7</v>
      </c>
      <c r="K37" s="88">
        <f ca="1">1069.8*OFFSET(K$113,MATCH($N$1,$C$113:$C$114,0)-1,0)</f>
        <v>1069.8</v>
      </c>
      <c r="L37" s="88">
        <f ca="1">664.9*OFFSET(L$113,MATCH($N$1,$C$113:$C$114,0)-1,0)</f>
        <v>664.9</v>
      </c>
      <c r="M37" s="88">
        <f ca="1">636.4*OFFSET(M$113,MATCH($N$1,$C$113:$C$114,0)-1,0)</f>
        <v>636.4</v>
      </c>
      <c r="N37" s="88">
        <v>639</v>
      </c>
      <c r="O37" s="84">
        <f t="shared" ca="1" si="0"/>
        <v>0.40966247518199866</v>
      </c>
      <c r="P37" s="84">
        <f t="shared" ca="1" si="1"/>
        <v>-0.39471440750213133</v>
      </c>
    </row>
    <row r="38" spans="1:16" s="78" customFormat="1" ht="18" customHeight="1">
      <c r="A38" s="192"/>
      <c r="B38" s="87" t="s">
        <v>219</v>
      </c>
      <c r="C38" s="88"/>
      <c r="D38" s="88">
        <f ca="1">102*OFFSET(D$113,MATCH($N$1,$C$113:$C$114,0)-1,0)</f>
        <v>102</v>
      </c>
      <c r="E38" s="88">
        <f ca="1">148.3*OFFSET(E$113,MATCH($N$1,$C$113:$C$114,0)-1,0)</f>
        <v>148.30000000000001</v>
      </c>
      <c r="F38" s="88">
        <f ca="1">282.5*OFFSET(F$113,MATCH($N$1,$C$113:$C$114,0)-1,0)</f>
        <v>282.5</v>
      </c>
      <c r="G38" s="88">
        <f ca="1">262.7*OFFSET(G$113,MATCH($N$1,$C$113:$C$114,0)-1,0)</f>
        <v>262.7</v>
      </c>
      <c r="H38" s="88">
        <f ca="1">393.1*OFFSET(H$113,MATCH($N$1,$C$113:$C$114,0)-1,0)</f>
        <v>393.1</v>
      </c>
      <c r="I38" s="88">
        <f ca="1">389.4*OFFSET(I$113,MATCH($N$1,$C$113:$C$114,0)-1,0)</f>
        <v>389.4</v>
      </c>
      <c r="J38" s="88">
        <f ca="1">426.3*OFFSET(J$113,MATCH($N$1,$C$113:$C$114,0)-1,0)</f>
        <v>426.3</v>
      </c>
      <c r="K38" s="88">
        <f ca="1">418.4*OFFSET(K$113,MATCH($N$1,$C$113:$C$114,0)-1,0)</f>
        <v>418.4</v>
      </c>
      <c r="L38" s="88">
        <f ca="1">215.5*OFFSET(L$113,MATCH($N$1,$C$113:$C$114,0)-1,0)</f>
        <v>215.5</v>
      </c>
      <c r="M38" s="88">
        <f ca="1">181.6*OFFSET(M$113,MATCH($N$1,$C$113:$C$114,0)-1,0)</f>
        <v>181.6</v>
      </c>
      <c r="N38" s="88">
        <v>137</v>
      </c>
      <c r="O38" s="84">
        <f t="shared" ca="1" si="0"/>
        <v>0.34313725490196079</v>
      </c>
      <c r="P38" s="84">
        <f t="shared" ca="1" si="1"/>
        <v>-0.67863007271874265</v>
      </c>
    </row>
    <row r="39" spans="1:16" s="78" customFormat="1" ht="18" customHeight="1">
      <c r="A39" s="192"/>
      <c r="B39" s="85" t="s">
        <v>220</v>
      </c>
      <c r="C39" s="86"/>
      <c r="D39" s="86">
        <f ca="1">115.5*OFFSET(D$113,MATCH($N$1,$C$113:$C$114,0)-1,0)</f>
        <v>115.5</v>
      </c>
      <c r="E39" s="86">
        <f ca="1">88.1*OFFSET(E$113,MATCH($N$1,$C$113:$C$114,0)-1,0)</f>
        <v>88.1</v>
      </c>
      <c r="F39" s="86">
        <f ca="1">89*OFFSET(F$113,MATCH($N$1,$C$113:$C$114,0)-1,0)</f>
        <v>89</v>
      </c>
      <c r="G39" s="86">
        <f ca="1">95.8*OFFSET(G$113,MATCH($N$1,$C$113:$C$114,0)-1,0)</f>
        <v>95.8</v>
      </c>
      <c r="H39" s="86">
        <f ca="1">121.5*OFFSET(H$113,MATCH($N$1,$C$113:$C$114,0)-1,0)</f>
        <v>121.5</v>
      </c>
      <c r="I39" s="86">
        <f ca="1">106.2*OFFSET(I$113,MATCH($N$1,$C$113:$C$114,0)-1,0)</f>
        <v>106.2</v>
      </c>
      <c r="J39" s="86">
        <f ca="1">119.1*OFFSET(J$113,MATCH($N$1,$C$113:$C$114,0)-1,0)</f>
        <v>119.1</v>
      </c>
      <c r="K39" s="86">
        <f ca="1">109.2*OFFSET(K$113,MATCH($N$1,$C$113:$C$114,0)-1,0)</f>
        <v>109.2</v>
      </c>
      <c r="L39" s="86">
        <f ca="1">118.8*OFFSET(L$113,MATCH($N$1,$C$113:$C$114,0)-1,0)</f>
        <v>118.8</v>
      </c>
      <c r="M39" s="86">
        <f ca="1">124.7*OFFSET(M$113,MATCH($N$1,$C$113:$C$114,0)-1,0)</f>
        <v>124.7</v>
      </c>
      <c r="N39" s="86"/>
      <c r="O39" s="84" t="str">
        <f t="shared" si="0"/>
        <v/>
      </c>
      <c r="P39" s="84" t="str">
        <f t="shared" si="1"/>
        <v/>
      </c>
    </row>
    <row r="40" spans="1:16" s="78" customFormat="1" ht="18" customHeight="1">
      <c r="A40" s="192"/>
      <c r="B40" s="85" t="s">
        <v>221</v>
      </c>
      <c r="C40" s="86"/>
      <c r="D40" s="86">
        <f ca="1">33*OFFSET(D$113,MATCH($N$1,$C$113:$C$114,0)-1,0)</f>
        <v>33</v>
      </c>
      <c r="E40" s="86">
        <f ca="1">15.9*OFFSET(E$113,MATCH($N$1,$C$113:$C$114,0)-1,0)</f>
        <v>15.9</v>
      </c>
      <c r="F40" s="86">
        <f ca="1">20.1*OFFSET(F$113,MATCH($N$1,$C$113:$C$114,0)-1,0)</f>
        <v>20.100000000000001</v>
      </c>
      <c r="G40" s="86">
        <f ca="1">11.1*OFFSET(G$113,MATCH($N$1,$C$113:$C$114,0)-1,0)</f>
        <v>11.1</v>
      </c>
      <c r="H40" s="86">
        <f ca="1">14.4*OFFSET(H$113,MATCH($N$1,$C$113:$C$114,0)-1,0)</f>
        <v>14.4</v>
      </c>
      <c r="I40" s="86">
        <f ca="1">12.7*OFFSET(I$113,MATCH($N$1,$C$113:$C$114,0)-1,0)</f>
        <v>12.7</v>
      </c>
      <c r="J40" s="86">
        <f ca="1">14.5*OFFSET(J$113,MATCH($N$1,$C$113:$C$114,0)-1,0)</f>
        <v>14.5</v>
      </c>
      <c r="K40" s="86">
        <f ca="1">21.9*OFFSET(K$113,MATCH($N$1,$C$113:$C$114,0)-1,0)</f>
        <v>21.9</v>
      </c>
      <c r="L40" s="86">
        <f ca="1">21*OFFSET(L$113,MATCH($N$1,$C$113:$C$114,0)-1,0)</f>
        <v>21</v>
      </c>
      <c r="M40" s="86">
        <f ca="1">31.2*OFFSET(M$113,MATCH($N$1,$C$113:$C$114,0)-1,0)</f>
        <v>31.2</v>
      </c>
      <c r="N40" s="86"/>
      <c r="O40" s="84" t="str">
        <f t="shared" si="0"/>
        <v/>
      </c>
      <c r="P40" s="84" t="str">
        <f t="shared" si="1"/>
        <v/>
      </c>
    </row>
    <row r="41" spans="1:16" s="78" customFormat="1" ht="18" customHeight="1">
      <c r="A41" s="192"/>
      <c r="B41" s="85" t="s">
        <v>222</v>
      </c>
      <c r="C41" s="86"/>
      <c r="D41" s="86">
        <f ca="1">2.7*OFFSET(D$113,MATCH($N$1,$C$113:$C$114,0)-1,0)</f>
        <v>2.7</v>
      </c>
      <c r="E41" s="86">
        <f ca="1">5.8*OFFSET(E$113,MATCH($N$1,$C$113:$C$114,0)-1,0)</f>
        <v>5.8</v>
      </c>
      <c r="F41" s="86">
        <f ca="1">34.3*OFFSET(F$113,MATCH($N$1,$C$113:$C$114,0)-1,0)</f>
        <v>34.299999999999997</v>
      </c>
      <c r="G41" s="86">
        <f ca="1">5.2*OFFSET(G$113,MATCH($N$1,$C$113:$C$114,0)-1,0)</f>
        <v>5.2</v>
      </c>
      <c r="H41" s="86">
        <f ca="1">4.3*OFFSET(H$113,MATCH($N$1,$C$113:$C$114,0)-1,0)</f>
        <v>4.3</v>
      </c>
      <c r="I41" s="86">
        <f ca="1">10*OFFSET(I$113,MATCH($N$1,$C$113:$C$114,0)-1,0)</f>
        <v>10</v>
      </c>
      <c r="J41" s="86">
        <f ca="1">5.8*OFFSET(J$113,MATCH($N$1,$C$113:$C$114,0)-1,0)</f>
        <v>5.8</v>
      </c>
      <c r="K41" s="86">
        <f ca="1">5.9*OFFSET(K$113,MATCH($N$1,$C$113:$C$114,0)-1,0)</f>
        <v>5.9</v>
      </c>
      <c r="L41" s="86">
        <f ca="1">5*OFFSET(L$113,MATCH($N$1,$C$113:$C$114,0)-1,0)</f>
        <v>5</v>
      </c>
      <c r="M41" s="86">
        <f ca="1">6.5*OFFSET(M$113,MATCH($N$1,$C$113:$C$114,0)-1,0)</f>
        <v>6.5</v>
      </c>
      <c r="N41" s="86"/>
      <c r="O41" s="84" t="str">
        <f t="shared" si="0"/>
        <v/>
      </c>
      <c r="P41" s="84" t="str">
        <f t="shared" si="1"/>
        <v/>
      </c>
    </row>
    <row r="42" spans="1:16" s="78" customFormat="1" ht="18" customHeight="1" thickBot="1">
      <c r="A42" s="193"/>
      <c r="B42" s="89" t="s">
        <v>223</v>
      </c>
      <c r="C42" s="90"/>
      <c r="D42" s="90">
        <f ca="1">-49.2*OFFSET(D$113,MATCH($N$1,$C$113:$C$114,0)-1,0)</f>
        <v>-49.2</v>
      </c>
      <c r="E42" s="90">
        <f ca="1">38.6*OFFSET(E$113,MATCH($N$1,$C$113:$C$114,0)-1,0)</f>
        <v>38.6</v>
      </c>
      <c r="F42" s="90">
        <f ca="1">139.1*OFFSET(F$113,MATCH($N$1,$C$113:$C$114,0)-1,0)</f>
        <v>139.1</v>
      </c>
      <c r="G42" s="90">
        <f ca="1">150.5*OFFSET(G$113,MATCH($N$1,$C$113:$C$114,0)-1,0)</f>
        <v>150.5</v>
      </c>
      <c r="H42" s="90">
        <f ca="1">253*OFFSET(H$113,MATCH($N$1,$C$113:$C$114,0)-1,0)</f>
        <v>253</v>
      </c>
      <c r="I42" s="90">
        <f ca="1">260.5*OFFSET(I$113,MATCH($N$1,$C$113:$C$114,0)-1,0)</f>
        <v>260.5</v>
      </c>
      <c r="J42" s="90">
        <f ca="1">286.8*OFFSET(J$113,MATCH($N$1,$C$113:$C$114,0)-1,0)</f>
        <v>286.8</v>
      </c>
      <c r="K42" s="90">
        <f ca="1">281.4*OFFSET(K$113,MATCH($N$1,$C$113:$C$114,0)-1,0)</f>
        <v>281.39999999999998</v>
      </c>
      <c r="L42" s="90">
        <f ca="1">70.7*OFFSET(L$113,MATCH($N$1,$C$113:$C$114,0)-1,0)</f>
        <v>70.7</v>
      </c>
      <c r="M42" s="90">
        <f ca="1">19.2*OFFSET(M$113,MATCH($N$1,$C$113:$C$114,0)-1,0)</f>
        <v>19.2</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171</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NSWOS demersal over 24m</v>
      </c>
      <c r="C49" s="101"/>
      <c r="D49" s="101"/>
      <c r="E49" s="101"/>
      <c r="F49" s="101"/>
      <c r="G49" s="101"/>
      <c r="K49" s="101" t="str">
        <f>$B25&amp;CHAR(10)&amp;$A$1</f>
        <v>Operating profit per kW day at sea (£)
NSWOS demersal over 24m</v>
      </c>
    </row>
    <row r="50" spans="1:11" s="78" customFormat="1">
      <c r="A50" s="101" t="str">
        <f>$B23&amp;CHAR(10)&amp;$A$1</f>
        <v>Fishing income per kW day at sea (£)
NSWOS demersal over 24m</v>
      </c>
    </row>
    <row r="51" spans="1:11" s="78" customFormat="1">
      <c r="A51" s="101" t="str">
        <f>$B21&amp;CHAR(10)&amp;$A$1</f>
        <v>Average price per tonne landed (£)
NSWOS demersal over 24m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NSWOS demersal over 24m</v>
      </c>
      <c r="F63" s="101" t="str">
        <f>$B21&amp;CHAR(10)&amp;$A$1</f>
        <v>Average price per tonne landed (£)
NSWOS demersal over 24m</v>
      </c>
      <c r="K63" s="101" t="str">
        <f>"Average annual operating profit per vessel (£'000)"&amp;CHAR(10)&amp;$A$1</f>
        <v>Average annual operating profit per vessel (£'000)
NSWOS demersal over 24m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NSWOS demersal over 24m</v>
      </c>
      <c r="F77" s="101" t="str">
        <f>"Top 5 landed species by value in "&amp;A78&amp;CHAR(10)&amp;A1</f>
        <v>Top 5 landed species by value in 2021
NSWOS demersal over 24m</v>
      </c>
    </row>
    <row r="78" spans="1:11" s="101" customFormat="1">
      <c r="A78" s="101">
        <v>2021</v>
      </c>
      <c r="B78" s="101" t="s">
        <v>450</v>
      </c>
      <c r="C78" s="102">
        <v>0.26172562310956415</v>
      </c>
      <c r="D78" s="103">
        <v>12153634</v>
      </c>
      <c r="G78" s="101" t="s">
        <v>451</v>
      </c>
      <c r="H78" s="102">
        <v>0.2312160610872305</v>
      </c>
      <c r="I78" s="103">
        <v>12153634</v>
      </c>
      <c r="K78" s="101" t="s">
        <v>237</v>
      </c>
    </row>
    <row r="79" spans="1:11" s="101" customFormat="1">
      <c r="B79" s="101" t="s">
        <v>452</v>
      </c>
      <c r="C79" s="102">
        <v>0.14432752655296585</v>
      </c>
      <c r="D79" s="103">
        <v>553960</v>
      </c>
      <c r="G79" s="101" t="s">
        <v>453</v>
      </c>
      <c r="H79" s="102">
        <v>0.22900116303169007</v>
      </c>
      <c r="I79" s="103">
        <v>553960</v>
      </c>
    </row>
    <row r="80" spans="1:11" s="101" customFormat="1">
      <c r="B80" s="101" t="s">
        <v>454</v>
      </c>
      <c r="C80" s="102">
        <v>0.14182405431595607</v>
      </c>
      <c r="D80" s="103">
        <v>1692097</v>
      </c>
      <c r="G80" s="101" t="s">
        <v>455</v>
      </c>
      <c r="H80" s="102">
        <v>0.12284757082599722</v>
      </c>
      <c r="I80" s="103">
        <v>3050596</v>
      </c>
    </row>
    <row r="81" spans="1:19" s="101" customFormat="1">
      <c r="B81" s="101" t="s">
        <v>456</v>
      </c>
      <c r="C81" s="102">
        <v>8.1633737242625723E-2</v>
      </c>
      <c r="D81" s="103">
        <v>3689192</v>
      </c>
      <c r="G81" s="101" t="s">
        <v>457</v>
      </c>
      <c r="H81" s="102">
        <v>6.8873514852719572E-2</v>
      </c>
      <c r="I81" s="103">
        <v>1692097</v>
      </c>
    </row>
    <row r="82" spans="1:19" s="101" customFormat="1">
      <c r="B82" s="101" t="s">
        <v>458</v>
      </c>
      <c r="C82" s="102">
        <v>6.6070631341032929E-2</v>
      </c>
      <c r="D82" s="103">
        <v>11115023</v>
      </c>
      <c r="G82" s="101" t="s">
        <v>459</v>
      </c>
      <c r="H82" s="102">
        <v>5.5059034180350866E-2</v>
      </c>
      <c r="I82" s="103">
        <v>3689192</v>
      </c>
    </row>
    <row r="83" spans="1:19" s="101" customFormat="1">
      <c r="B83" s="101" t="s">
        <v>460</v>
      </c>
      <c r="C83" s="102">
        <v>0.3044184274378553</v>
      </c>
      <c r="D83" s="103">
        <v>5920853</v>
      </c>
      <c r="G83" s="101" t="s">
        <v>461</v>
      </c>
      <c r="H83" s="102">
        <v>0.29300265602201181</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156</v>
      </c>
      <c r="D93" s="107">
        <v>0.24304332353727076</v>
      </c>
      <c r="E93" s="107">
        <v>0.24994934063747604</v>
      </c>
      <c r="F93" s="107">
        <v>0.23322583392535906</v>
      </c>
      <c r="G93" s="107">
        <v>0.20901369281577459</v>
      </c>
      <c r="H93" s="107">
        <v>0.22979385993118084</v>
      </c>
      <c r="I93" s="107">
        <v>0.21072709084445845</v>
      </c>
      <c r="J93" s="107">
        <v>0.23589849400298102</v>
      </c>
      <c r="K93" s="107">
        <v>0.21753966443272901</v>
      </c>
      <c r="L93" s="107">
        <v>0.2312160610872305</v>
      </c>
      <c r="M93" s="107">
        <v>0.22461074554383539</v>
      </c>
      <c r="O93" s="101">
        <v>12153634</v>
      </c>
    </row>
    <row r="94" spans="1:19" s="101" customFormat="1" hidden="1">
      <c r="B94" s="101">
        <v>2</v>
      </c>
      <c r="C94" s="101" t="s">
        <v>161</v>
      </c>
      <c r="D94" s="107">
        <v>0.10616418440418927</v>
      </c>
      <c r="E94" s="107">
        <v>0.13414287616751405</v>
      </c>
      <c r="F94" s="107">
        <v>0.14639623999862306</v>
      </c>
      <c r="G94" s="107">
        <v>0.16594029562357507</v>
      </c>
      <c r="H94" s="107">
        <v>0.16965115783757953</v>
      </c>
      <c r="I94" s="107">
        <v>0.16472339753043957</v>
      </c>
      <c r="J94" s="107">
        <v>0.14478823191880583</v>
      </c>
      <c r="K94" s="107">
        <v>0.19547563323358924</v>
      </c>
      <c r="L94" s="107">
        <v>0.22900116303169007</v>
      </c>
      <c r="M94" s="107">
        <v>0.19255683405413818</v>
      </c>
      <c r="O94" s="101">
        <v>553960</v>
      </c>
    </row>
    <row r="95" spans="1:19" s="101" customFormat="1" hidden="1">
      <c r="B95" s="101">
        <v>3</v>
      </c>
      <c r="C95" s="101" t="s">
        <v>168</v>
      </c>
      <c r="D95" s="107">
        <v>0.162276433221268</v>
      </c>
      <c r="E95" s="107">
        <v>0.15373297660369384</v>
      </c>
      <c r="F95" s="107">
        <v>0.14857824799557004</v>
      </c>
      <c r="G95" s="107">
        <v>0.14851176707047622</v>
      </c>
      <c r="H95" s="107">
        <v>0.17792433581857695</v>
      </c>
      <c r="I95" s="107">
        <v>0.20565650666950094</v>
      </c>
      <c r="J95" s="107">
        <v>0.20662534551144604</v>
      </c>
      <c r="K95" s="107">
        <v>0.17445109611572024</v>
      </c>
      <c r="L95" s="107">
        <v>0.12284757082599722</v>
      </c>
      <c r="M95" s="107">
        <v>0.1403865091698604</v>
      </c>
      <c r="O95" s="101">
        <v>3050596</v>
      </c>
    </row>
    <row r="96" spans="1:19" s="101" customFormat="1" hidden="1">
      <c r="B96" s="101">
        <v>4</v>
      </c>
      <c r="C96" s="101" t="s">
        <v>435</v>
      </c>
      <c r="D96" s="107">
        <v>0.12064683341801762</v>
      </c>
      <c r="E96" s="107">
        <v>0.11502475555236419</v>
      </c>
      <c r="F96" s="107">
        <v>0.10082049720664754</v>
      </c>
      <c r="G96" s="107">
        <v>8.6386582251913438E-2</v>
      </c>
      <c r="H96" s="107">
        <v>6.8929985922810341E-2</v>
      </c>
      <c r="I96" s="107">
        <v>6.280002205320076E-2</v>
      </c>
      <c r="J96" s="107">
        <v>7.8901375598363049E-2</v>
      </c>
      <c r="K96" s="107">
        <v>7.5673847397446842E-2</v>
      </c>
      <c r="L96" s="107">
        <v>6.8873514852719572E-2</v>
      </c>
      <c r="M96" s="107">
        <v>7.9800511148955297E-2</v>
      </c>
      <c r="O96" s="101">
        <v>1692097</v>
      </c>
    </row>
    <row r="97" spans="1:15" s="101" customFormat="1" hidden="1">
      <c r="B97" s="101">
        <v>5</v>
      </c>
      <c r="C97" s="101" t="s">
        <v>353</v>
      </c>
      <c r="D97" s="107"/>
      <c r="E97" s="107"/>
      <c r="F97" s="107"/>
      <c r="G97" s="107"/>
      <c r="H97" s="107"/>
      <c r="I97" s="107"/>
      <c r="J97" s="107"/>
      <c r="K97" s="107"/>
      <c r="L97" s="107">
        <v>5.5059034180350866E-2</v>
      </c>
      <c r="M97" s="107"/>
      <c r="O97" s="101">
        <v>3689192</v>
      </c>
    </row>
    <row r="98" spans="1:15" s="101" customFormat="1" hidden="1">
      <c r="B98" s="101">
        <v>6</v>
      </c>
      <c r="C98" s="101" t="s">
        <v>181</v>
      </c>
      <c r="D98" s="107"/>
      <c r="E98" s="107"/>
      <c r="F98" s="107"/>
      <c r="G98" s="107"/>
      <c r="H98" s="107"/>
      <c r="I98" s="107"/>
      <c r="J98" s="107">
        <v>5.1968442232285909E-2</v>
      </c>
      <c r="K98" s="107"/>
      <c r="L98" s="107"/>
      <c r="M98" s="107">
        <v>7.518030678856237E-2</v>
      </c>
      <c r="O98" s="101">
        <v>11115023</v>
      </c>
    </row>
    <row r="99" spans="1:15" s="101" customFormat="1" hidden="1">
      <c r="B99" s="101">
        <v>7</v>
      </c>
      <c r="C99" s="101" t="s">
        <v>172</v>
      </c>
      <c r="D99" s="107"/>
      <c r="E99" s="107"/>
      <c r="F99" s="107"/>
      <c r="G99" s="107"/>
      <c r="H99" s="107"/>
      <c r="I99" s="107"/>
      <c r="J99" s="107"/>
      <c r="K99" s="107">
        <v>5.1520028057012238E-2</v>
      </c>
      <c r="L99" s="107"/>
      <c r="M99" s="107"/>
      <c r="O99" s="101">
        <v>2480382</v>
      </c>
    </row>
    <row r="100" spans="1:15" s="101" customFormat="1" hidden="1">
      <c r="B100" s="101">
        <v>8</v>
      </c>
      <c r="C100" s="101" t="s">
        <v>169</v>
      </c>
      <c r="D100" s="107">
        <v>8.6015902398037164E-2</v>
      </c>
      <c r="E100" s="107">
        <v>7.4115019053803938E-2</v>
      </c>
      <c r="F100" s="107">
        <v>9.779992705768259E-2</v>
      </c>
      <c r="G100" s="107">
        <v>0.11636684104564478</v>
      </c>
      <c r="H100" s="107">
        <v>8.8854146340027293E-2</v>
      </c>
      <c r="I100" s="107">
        <v>8.5725627929065129E-2</v>
      </c>
      <c r="J100" s="107"/>
      <c r="K100" s="107"/>
      <c r="L100" s="107"/>
      <c r="M100" s="107"/>
      <c r="O100" s="101">
        <v>7434864</v>
      </c>
    </row>
    <row r="101" spans="1:15" s="101" customFormat="1" hidden="1">
      <c r="B101" s="101">
        <v>9</v>
      </c>
      <c r="C101" s="101" t="s">
        <v>251</v>
      </c>
      <c r="D101" s="107">
        <v>0.28185332302121718</v>
      </c>
      <c r="E101" s="107">
        <v>0.27303503198514795</v>
      </c>
      <c r="F101" s="107">
        <v>0.27317925381611768</v>
      </c>
      <c r="G101" s="107">
        <v>0.27378082119261593</v>
      </c>
      <c r="H101" s="107">
        <v>0.26484651414982507</v>
      </c>
      <c r="I101" s="107">
        <v>0.27036735497333514</v>
      </c>
      <c r="J101" s="107">
        <v>0.28181811073611812</v>
      </c>
      <c r="K101" s="107">
        <v>0.28533973076350239</v>
      </c>
      <c r="L101" s="107">
        <v>0.29300265602201175</v>
      </c>
      <c r="M101" s="107">
        <v>0.28746509329464837</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10</v>
      </c>
      <c r="D121" s="52">
        <v>21</v>
      </c>
      <c r="E121" s="52">
        <v>10</v>
      </c>
      <c r="F121" s="53">
        <v>41</v>
      </c>
    </row>
    <row r="122" spans="1:15" ht="18" customHeight="1">
      <c r="A122" s="186" t="s">
        <v>198</v>
      </c>
      <c r="B122" s="35" t="s">
        <v>199</v>
      </c>
      <c r="C122" s="54">
        <v>29.066999435424805</v>
      </c>
      <c r="D122" s="54">
        <v>27.806665965488978</v>
      </c>
      <c r="E122" s="54">
        <v>31.686000823974609</v>
      </c>
      <c r="F122" s="55">
        <v>29.060243606567383</v>
      </c>
    </row>
    <row r="123" spans="1:15" ht="18" customHeight="1">
      <c r="A123" s="187"/>
      <c r="B123" s="37" t="s">
        <v>190</v>
      </c>
      <c r="C123" s="56">
        <v>751.20001220703125</v>
      </c>
      <c r="D123" s="56">
        <v>752.66667829241067</v>
      </c>
      <c r="E123" s="56">
        <v>1007.7999877929688</v>
      </c>
      <c r="F123" s="57">
        <v>814.53656005859375</v>
      </c>
    </row>
    <row r="124" spans="1:15" ht="18" customHeight="1">
      <c r="A124" s="187"/>
      <c r="B124" s="37" t="s">
        <v>191</v>
      </c>
      <c r="C124" s="56">
        <v>407.39999389648438</v>
      </c>
      <c r="D124" s="56">
        <v>341.23809523809524</v>
      </c>
      <c r="E124" s="56">
        <v>351.39999389648438</v>
      </c>
      <c r="F124" s="57">
        <v>359.85366821289063</v>
      </c>
    </row>
    <row r="125" spans="1:15" ht="18" customHeight="1">
      <c r="A125" s="187"/>
      <c r="B125" s="37" t="s">
        <v>192</v>
      </c>
      <c r="C125" s="56">
        <v>600.66461181640625</v>
      </c>
      <c r="D125" s="56">
        <v>574.89173235212058</v>
      </c>
      <c r="E125" s="56">
        <v>718.4287109375</v>
      </c>
      <c r="F125" s="57">
        <v>616.18682861328125</v>
      </c>
    </row>
    <row r="126" spans="1:15" ht="18" customHeight="1">
      <c r="A126" s="187"/>
      <c r="B126" s="37" t="s">
        <v>193</v>
      </c>
      <c r="C126" s="33">
        <v>1339.78271484375</v>
      </c>
      <c r="D126" s="33">
        <v>915.96947079613096</v>
      </c>
      <c r="E126" s="33">
        <v>497.25894165039063</v>
      </c>
      <c r="F126" s="58">
        <v>917.21405029296875</v>
      </c>
    </row>
    <row r="127" spans="1:15" ht="18" customHeight="1">
      <c r="A127" s="187"/>
      <c r="B127" s="37" t="s">
        <v>200</v>
      </c>
      <c r="C127" s="33">
        <f ca="1">2928.67725*OFFSET($L$113,MATCH($N$1,$C$113:$C$114,0)-1,0)</f>
        <v>2928.6772500000002</v>
      </c>
      <c r="D127" s="33">
        <f ca="1">1775.34504166667*OFFSET($L$113,MATCH($N$1,$C$113:$C$114,0)-1,0)</f>
        <v>1775.3450416666701</v>
      </c>
      <c r="E127" s="33">
        <f ca="1">592.0326875*OFFSET($L$113,MATCH($N$1,$C$113:$C$114,0)-1,0)</f>
        <v>592.03268749999995</v>
      </c>
      <c r="F127" s="58">
        <f ca="1">1768.032875*OFFSET($L$113,MATCH($N$1,$C$113:$C$114,0)-1,0)</f>
        <v>1768.0328750000001</v>
      </c>
    </row>
    <row r="128" spans="1:15" ht="18" customHeight="1">
      <c r="A128" s="187"/>
      <c r="B128" s="37" t="s">
        <v>195</v>
      </c>
      <c r="C128" s="56">
        <v>260.20001220703125</v>
      </c>
      <c r="D128" s="56">
        <v>203.3809531075614</v>
      </c>
      <c r="E128" s="56">
        <v>162.89999389648438</v>
      </c>
      <c r="F128" s="57">
        <v>207.36585998535156</v>
      </c>
    </row>
    <row r="129" spans="1:15" ht="18" customHeight="1">
      <c r="A129" s="187"/>
      <c r="B129" s="37" t="s">
        <v>201</v>
      </c>
      <c r="C129" s="56">
        <v>13.800000190734863</v>
      </c>
      <c r="D129" s="56">
        <v>19.523809523809526</v>
      </c>
      <c r="E129" s="56">
        <v>25.799999237060547</v>
      </c>
      <c r="F129" s="57">
        <v>19.658536911010742</v>
      </c>
    </row>
    <row r="130" spans="1:15" ht="18" customHeight="1">
      <c r="A130" s="187"/>
      <c r="B130" s="37" t="s">
        <v>202</v>
      </c>
      <c r="C130" s="59">
        <v>5.1490492820739746</v>
      </c>
      <c r="D130" s="59">
        <v>4.5037131393110608</v>
      </c>
      <c r="E130" s="59">
        <v>3.0525412559509277</v>
      </c>
      <c r="F130" s="60">
        <v>4.4231681823730469</v>
      </c>
    </row>
    <row r="131" spans="1:15" ht="18" customHeight="1">
      <c r="A131" s="188"/>
      <c r="B131" s="39" t="s">
        <v>203</v>
      </c>
      <c r="C131" s="40">
        <f ca="1">2185.9344933716*OFFSET($L$113,MATCH($N$1,$C$113:$C$114,0)-1,0)</f>
        <v>2185.9344933716002</v>
      </c>
      <c r="D131" s="40">
        <f ca="1">1938.21420720889*OFFSET($L$113,MATCH($N$1,$C$113:$C$114,0)-1,0)</f>
        <v>1938.21420720889</v>
      </c>
      <c r="E131" s="40">
        <f ca="1">1190.59234115541*OFFSET($L$113,MATCH($N$1,$C$113:$C$114,0)-1,0)</f>
        <v>1190.5923411554099</v>
      </c>
      <c r="F131" s="61">
        <f ca="1">1928*OFFSET($L$113,MATCH($N$1,$C$113:$C$114,0)-1,0)</f>
        <v>1928</v>
      </c>
    </row>
    <row r="132" spans="1:15" ht="18" customHeight="1">
      <c r="A132" s="198" t="s">
        <v>204</v>
      </c>
      <c r="B132" s="35" t="s">
        <v>205</v>
      </c>
      <c r="C132" s="62">
        <v>6.8978547096795992</v>
      </c>
      <c r="D132" s="62">
        <v>5.5815881681987367</v>
      </c>
      <c r="E132" s="62">
        <v>2.3796574253431797</v>
      </c>
      <c r="F132" s="63">
        <v>5.0287486367302883</v>
      </c>
    </row>
    <row r="133" spans="1:15" ht="18" customHeight="1">
      <c r="A133" s="199"/>
      <c r="B133" s="37" t="s">
        <v>206</v>
      </c>
      <c r="C133" s="59">
        <f ca="1">15.0782585401544*OFFSET($L$113,MATCH($N$1,$C$113:$C$114,0)-1,0)</f>
        <v>15.078258540154399</v>
      </c>
      <c r="D133" s="59">
        <f ca="1">10.8183134863918*OFFSET($L$113,MATCH($N$1,$C$113:$C$114,0)-1,0)</f>
        <v>10.8183134863918</v>
      </c>
      <c r="E133" s="59">
        <f ca="1">2.83320190518719*OFFSET($L$113,MATCH($N$1,$C$113:$C$114,0)-1,0)</f>
        <v>2.83320190518719</v>
      </c>
      <c r="F133" s="60">
        <f ca="1">9.69347657399131*OFFSET($L$113,MATCH($N$1,$C$113:$C$114,0)-1,0)</f>
        <v>9.69347657399131</v>
      </c>
    </row>
    <row r="134" spans="1:15" ht="18" customHeight="1">
      <c r="A134" s="199"/>
      <c r="B134" s="37" t="s">
        <v>153</v>
      </c>
      <c r="C134" s="59">
        <f ca="1">12.5839295590361*OFFSET($L$113,MATCH($N$1,$C$113:$C$114,0)-1,0)</f>
        <v>12.5839295590361</v>
      </c>
      <c r="D134" s="59">
        <f ca="1">9.59226739577673*OFFSET($L$113,MATCH($N$1,$C$113:$C$114,0)-1,0)</f>
        <v>9.5922673957767302</v>
      </c>
      <c r="E134" s="59">
        <f ca="1">3.61101346429389*OFFSET($L$113,MATCH($N$1,$C$113:$C$114,0)-1,0)</f>
        <v>3.6110134642938898</v>
      </c>
      <c r="F134" s="60">
        <f ca="1">8.69795520037227*OFFSET($L$113,MATCH($N$1,$C$113:$C$114,0)-1,0)</f>
        <v>8.6979552003722702</v>
      </c>
    </row>
    <row r="135" spans="1:15" ht="18" customHeight="1">
      <c r="A135" s="200"/>
      <c r="B135" s="39" t="s">
        <v>154</v>
      </c>
      <c r="C135" s="64">
        <f ca="1">2.49432898111832*OFFSET($L$113,MATCH($N$1,$C$113:$C$114,0)-1,0)</f>
        <v>2.4943289811183198</v>
      </c>
      <c r="D135" s="64">
        <f ca="1">1.22604609061508*OFFSET($L$113,MATCH($N$1,$C$113:$C$114,0)-1,0)</f>
        <v>1.2260460906150801</v>
      </c>
      <c r="E135" s="64">
        <f ca="1">-0.777811559106699*OFFSET($L$113,MATCH($N$1,$C$113:$C$114,0)-1,0)</f>
        <v>-0.77781155910669897</v>
      </c>
      <c r="F135" s="65">
        <f ca="1">0.99552137361904*OFFSET($L$113,MATCH($N$1,$C$113:$C$114,0)-1,0)</f>
        <v>0.99552137361904003</v>
      </c>
    </row>
    <row r="136" spans="1:15" ht="18" customHeight="1">
      <c r="A136" s="201" t="s">
        <v>260</v>
      </c>
      <c r="B136" s="37" t="s">
        <v>261</v>
      </c>
      <c r="C136" s="66">
        <f ca="1">462.06371875*OFFSET($L$113,MATCH($N$1,$C$113:$C$114,0)-1,0)</f>
        <v>462.06371875000002</v>
      </c>
      <c r="D136" s="66">
        <f ca="1">372.586427083333*OFFSET($L$113,MATCH($N$1,$C$113:$C$114,0)-1,0)</f>
        <v>372.58642708333298</v>
      </c>
      <c r="E136" s="66">
        <f ca="1">353.8769375*OFFSET($L$113,MATCH($N$1,$C$113:$C$114,0)-1,0)</f>
        <v>353.8769375</v>
      </c>
      <c r="F136" s="67">
        <f ca="1">389.846875*OFFSET($L$113,MATCH($N$1,$C$113:$C$114,0)-1,0)</f>
        <v>389.84687500000001</v>
      </c>
    </row>
    <row r="137" spans="1:15" ht="18" customHeight="1">
      <c r="A137" s="202"/>
      <c r="B137" s="37" t="s">
        <v>262</v>
      </c>
      <c r="C137" s="31">
        <v>966815.07211500406</v>
      </c>
      <c r="D137" s="31">
        <v>787090.47629650636</v>
      </c>
      <c r="E137" s="31">
        <v>740964.93962043524</v>
      </c>
      <c r="F137" s="68">
        <v>819675.60975609755</v>
      </c>
    </row>
    <row r="138" spans="1:15" ht="18" customHeight="1">
      <c r="A138" s="202"/>
      <c r="B138" s="37" t="s">
        <v>263</v>
      </c>
      <c r="C138" s="31">
        <v>3715.6611328125</v>
      </c>
      <c r="D138" s="31">
        <v>3870.0304245316447</v>
      </c>
      <c r="E138" s="31">
        <v>4548.587890625</v>
      </c>
      <c r="F138" s="68">
        <v>3952.79931640625</v>
      </c>
    </row>
    <row r="139" spans="1:15" ht="18" customHeight="1">
      <c r="A139" s="202"/>
      <c r="B139" s="37" t="s">
        <v>264</v>
      </c>
      <c r="C139" s="31">
        <f ca="1">1775.80206407659*OFFSET($L$113,MATCH($N$1,$C$113:$C$114,0)-1,0)</f>
        <v>1775.8020640765901</v>
      </c>
      <c r="D139" s="31">
        <f ca="1">1831.96322659716*OFFSET($L$113,MATCH($N$1,$C$113:$C$114,0)-1,0)</f>
        <v>1831.96322659716</v>
      </c>
      <c r="E139" s="31">
        <f ca="1">2172.35697212409*OFFSET($L$113,MATCH($N$1,$C$113:$C$114,0)-1,0)</f>
        <v>2172.3569721240901</v>
      </c>
      <c r="F139" s="68">
        <f ca="1">1879.99545840159*OFFSET($L$113,MATCH($N$1,$C$113:$C$114,0)-1,0)</f>
        <v>1879.99545840159</v>
      </c>
      <c r="I139" s="43"/>
      <c r="L139" s="69" t="str">
        <f>C120</f>
        <v>Most
profitable
quartile</v>
      </c>
      <c r="M139" s="69" t="str">
        <f>D120</f>
        <v>Middle
two quartiles</v>
      </c>
      <c r="N139" s="69" t="str">
        <f>E120</f>
        <v>Least
profitable
quartile</v>
      </c>
      <c r="O139" s="69"/>
    </row>
    <row r="140" spans="1:15" ht="18" customHeight="1">
      <c r="A140" s="202"/>
      <c r="B140" s="37" t="s">
        <v>265</v>
      </c>
      <c r="C140" s="31">
        <f ca="1">344.879594004829*OFFSET($L$113,MATCH($N$1,$C$113:$C$114,0)-1,0)</f>
        <v>344.87959400482902</v>
      </c>
      <c r="D140" s="31">
        <f ca="1">406.767298433531*OFFSET($L$113,MATCH($N$1,$C$113:$C$114,0)-1,0)</f>
        <v>406.76729843353098</v>
      </c>
      <c r="E140" s="31">
        <f ca="1">711.655252141854*OFFSET($L$113,MATCH($N$1,$C$113:$C$114,0)-1,0)</f>
        <v>711.65525214185402</v>
      </c>
      <c r="F140" s="68">
        <f ca="1">425.033692926399*OFFSET($L$113,MATCH($N$1,$C$113:$C$114,0)-1,0)</f>
        <v>425.033692926399</v>
      </c>
      <c r="I140" s="43"/>
      <c r="K140" s="69" t="s">
        <v>266</v>
      </c>
      <c r="L140" s="70">
        <f t="shared" ref="L140:M142" ca="1" si="2">C141</f>
        <v>3005.5794999999998</v>
      </c>
      <c r="M140" s="70">
        <f t="shared" ca="1" si="2"/>
        <v>1821.9625297619</v>
      </c>
      <c r="N140" s="70">
        <f ca="1">E141</f>
        <v>607.57837500000005</v>
      </c>
      <c r="O140" s="70"/>
    </row>
    <row r="141" spans="1:15" ht="18" customHeight="1">
      <c r="A141" s="179" t="s">
        <v>267</v>
      </c>
      <c r="B141" s="35" t="s">
        <v>268</v>
      </c>
      <c r="C141" s="71">
        <f ca="1">3005.5795*OFFSET($L$113,MATCH($N$1,$C$113:$C$114,0)-1,0)</f>
        <v>3005.5794999999998</v>
      </c>
      <c r="D141" s="71">
        <f ca="1">1821.9625297619*OFFSET($L$113,MATCH($N$1,$C$113:$C$114,0)-1,0)</f>
        <v>1821.9625297619</v>
      </c>
      <c r="E141" s="71">
        <f ca="1">607.578375*OFFSET($L$113,MATCH($N$1,$C$113:$C$114,0)-1,0)</f>
        <v>607.57837500000005</v>
      </c>
      <c r="F141" s="72">
        <f ca="1">1814.45825*OFFSET($L$113,MATCH($N$1,$C$113:$C$114,0)-1,0)</f>
        <v>1814.4582499999999</v>
      </c>
      <c r="I141" s="43"/>
      <c r="K141" s="69" t="s">
        <v>269</v>
      </c>
      <c r="L141" s="70">
        <f t="shared" ca="1" si="2"/>
        <v>2521.1015000000002</v>
      </c>
      <c r="M141" s="70">
        <f t="shared" ca="1" si="2"/>
        <v>1620.76158928571</v>
      </c>
      <c r="N141" s="70">
        <f ca="1">E142</f>
        <v>770.11181250000004</v>
      </c>
      <c r="O141" s="70"/>
    </row>
    <row r="142" spans="1:15" ht="18" customHeight="1">
      <c r="A142" s="180"/>
      <c r="B142" s="37" t="s">
        <v>270</v>
      </c>
      <c r="C142" s="31">
        <f ca="1">2521.1015*OFFSET($L$113,MATCH($N$1,$C$113:$C$114,0)-1,0)</f>
        <v>2521.1015000000002</v>
      </c>
      <c r="D142" s="31">
        <f ca="1">1620.76158928571*OFFSET($L$113,MATCH($N$1,$C$113:$C$114,0)-1,0)</f>
        <v>1620.76158928571</v>
      </c>
      <c r="E142" s="31">
        <f ca="1">770.1118125*OFFSET($L$113,MATCH($N$1,$C$113:$C$114,0)-1,0)</f>
        <v>770.11181250000004</v>
      </c>
      <c r="F142" s="68">
        <f ca="1">1632.881125*OFFSET($L$113,MATCH($N$1,$C$113:$C$114,0)-1,0)</f>
        <v>1632.8811250000001</v>
      </c>
      <c r="I142" s="43"/>
      <c r="K142" s="69" t="s">
        <v>271</v>
      </c>
      <c r="L142" s="70">
        <f t="shared" ca="1" si="2"/>
        <v>484.47800000000001</v>
      </c>
      <c r="M142" s="70">
        <f t="shared" ca="1" si="2"/>
        <v>201.20094047619099</v>
      </c>
      <c r="N142" s="70">
        <f ca="1">E143</f>
        <v>-162.53343749999999</v>
      </c>
      <c r="O142" s="70"/>
    </row>
    <row r="143" spans="1:15" ht="18" customHeight="1">
      <c r="A143" s="181"/>
      <c r="B143" s="39" t="s">
        <v>272</v>
      </c>
      <c r="C143" s="40">
        <f ca="1">484.478*OFFSET($L$113,MATCH($N$1,$C$113:$C$114,0)-1,0)</f>
        <v>484.47800000000001</v>
      </c>
      <c r="D143" s="40">
        <f ca="1">201.200940476191*OFFSET($L$113,MATCH($N$1,$C$113:$C$114,0)-1,0)</f>
        <v>201.20094047619099</v>
      </c>
      <c r="E143" s="40">
        <f ca="1">-162.5334375*OFFSET($L$113,MATCH($N$1,$C$113:$C$114,0)-1,0)</f>
        <v>-162.53343749999999</v>
      </c>
      <c r="F143" s="61">
        <f ca="1">181.57721875*OFFSET($L$113,MATCH($N$1,$C$113:$C$114,0)-1,0)</f>
        <v>181.57721874999999</v>
      </c>
      <c r="I143" s="43"/>
      <c r="K143" s="69" t="s">
        <v>273</v>
      </c>
      <c r="L143" s="73">
        <f ca="1">IFERROR(L141/L$140,"")</f>
        <v>0.83880712521495449</v>
      </c>
      <c r="M143" s="73">
        <f t="shared" ref="M143:N144" ca="1" si="3">IFERROR(M141/M$140,"")</f>
        <v>0.88956911177394871</v>
      </c>
      <c r="N143" s="73">
        <f t="shared" ca="1" si="3"/>
        <v>1.2675102409627399</v>
      </c>
      <c r="O143" s="73"/>
    </row>
    <row r="144" spans="1:15" ht="18" customHeight="1">
      <c r="I144" s="43"/>
      <c r="K144" s="69" t="s">
        <v>274</v>
      </c>
      <c r="L144" s="73">
        <f ca="1">IFERROR(L142/L$140,"")</f>
        <v>0.16119287478504563</v>
      </c>
      <c r="M144" s="73">
        <f t="shared" ca="1" si="3"/>
        <v>0.11043088822605182</v>
      </c>
      <c r="N144" s="73">
        <f t="shared" ca="1" si="3"/>
        <v>-0.26751024096273995</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10</v>
      </c>
      <c r="B162" s="48"/>
      <c r="C162" s="74" t="s">
        <v>255</v>
      </c>
      <c r="D162" s="74" t="s">
        <v>276</v>
      </c>
      <c r="E162" s="74" t="s">
        <v>257</v>
      </c>
      <c r="F162" s="74" t="s">
        <v>277</v>
      </c>
      <c r="G162" s="75">
        <v>10</v>
      </c>
      <c r="H162" s="74"/>
      <c r="I162" s="74" t="s">
        <v>255</v>
      </c>
      <c r="J162" s="74" t="s">
        <v>276</v>
      </c>
      <c r="K162" s="74" t="s">
        <v>257</v>
      </c>
      <c r="L162" s="48" t="s">
        <v>277</v>
      </c>
      <c r="R162" s="21"/>
      <c r="S162" s="21"/>
    </row>
    <row r="163" spans="1:19" s="43" customFormat="1">
      <c r="A163" s="44">
        <v>1</v>
      </c>
      <c r="B163" s="48" t="s">
        <v>156</v>
      </c>
      <c r="C163" s="48">
        <v>0.33769442849984055</v>
      </c>
      <c r="D163" s="48">
        <v>0.28807187360833469</v>
      </c>
      <c r="E163" s="48">
        <v>7.1123931557209683E-2</v>
      </c>
      <c r="F163" s="44">
        <v>12153634</v>
      </c>
      <c r="G163" s="44">
        <v>1</v>
      </c>
      <c r="H163" s="48" t="s">
        <v>161</v>
      </c>
      <c r="I163" s="48">
        <v>0.23207076160213416</v>
      </c>
      <c r="J163" s="48">
        <v>0.26937352430180739</v>
      </c>
      <c r="K163" s="48">
        <v>0.13921803145674586</v>
      </c>
      <c r="L163" s="44">
        <v>553960</v>
      </c>
      <c r="R163" s="21"/>
      <c r="S163" s="21"/>
    </row>
    <row r="164" spans="1:19" s="43" customFormat="1">
      <c r="A164" s="44">
        <v>2</v>
      </c>
      <c r="B164" s="48" t="s">
        <v>161</v>
      </c>
      <c r="C164" s="48">
        <v>0.15899844198441984</v>
      </c>
      <c r="D164" s="48">
        <v>0.17493307840647737</v>
      </c>
      <c r="E164" s="48">
        <v>5.6849031649384915E-2</v>
      </c>
      <c r="F164" s="44">
        <v>553960</v>
      </c>
      <c r="G164" s="44">
        <v>2</v>
      </c>
      <c r="H164" s="48" t="s">
        <v>156</v>
      </c>
      <c r="I164" s="48">
        <v>0.28275943350356991</v>
      </c>
      <c r="J164" s="48">
        <v>0.24180432382011266</v>
      </c>
      <c r="K164" s="48">
        <v>0</v>
      </c>
      <c r="L164" s="44">
        <v>12153634</v>
      </c>
      <c r="N164" s="43" t="s">
        <v>278</v>
      </c>
      <c r="R164" s="21"/>
      <c r="S164" s="21"/>
    </row>
    <row r="165" spans="1:19" s="43" customFormat="1">
      <c r="A165" s="44">
        <v>3</v>
      </c>
      <c r="B165" s="48" t="s">
        <v>435</v>
      </c>
      <c r="C165" s="48">
        <v>9.702203088697553E-2</v>
      </c>
      <c r="D165" s="48">
        <v>0.11226982264595657</v>
      </c>
      <c r="E165" s="48">
        <v>0.42206773598584346</v>
      </c>
      <c r="F165" s="44">
        <v>1692097</v>
      </c>
      <c r="G165" s="44">
        <v>3</v>
      </c>
      <c r="H165" s="48" t="s">
        <v>168</v>
      </c>
      <c r="I165" s="48">
        <v>0.12703020258374056</v>
      </c>
      <c r="J165" s="48">
        <v>0.14226173422680008</v>
      </c>
      <c r="K165" s="48">
        <v>7.4770917083408994E-2</v>
      </c>
      <c r="L165" s="44">
        <v>3050596</v>
      </c>
      <c r="N165" s="43" t="s">
        <v>279</v>
      </c>
      <c r="R165" s="21"/>
      <c r="S165" s="21"/>
    </row>
    <row r="166" spans="1:19" s="43" customFormat="1">
      <c r="A166" s="44">
        <v>4</v>
      </c>
      <c r="B166" s="48" t="s">
        <v>368</v>
      </c>
      <c r="C166" s="48">
        <v>0</v>
      </c>
      <c r="D166" s="48">
        <v>9.2980835583461915E-2</v>
      </c>
      <c r="E166" s="48">
        <v>0</v>
      </c>
      <c r="F166" s="44">
        <v>2480382</v>
      </c>
      <c r="G166" s="44">
        <v>4</v>
      </c>
      <c r="H166" s="48" t="s">
        <v>435</v>
      </c>
      <c r="I166" s="48">
        <v>0</v>
      </c>
      <c r="J166" s="48">
        <v>5.9605374802912989E-2</v>
      </c>
      <c r="K166" s="48">
        <v>0.25297863595367559</v>
      </c>
      <c r="L166" s="44">
        <v>1692097</v>
      </c>
      <c r="R166" s="21"/>
      <c r="S166" s="21"/>
    </row>
    <row r="167" spans="1:19" s="43" customFormat="1">
      <c r="A167" s="44">
        <v>5</v>
      </c>
      <c r="B167" s="48" t="s">
        <v>353</v>
      </c>
      <c r="C167" s="48">
        <v>0.10413841738417384</v>
      </c>
      <c r="D167" s="48">
        <v>8.7666517183454071E-2</v>
      </c>
      <c r="E167" s="48">
        <v>0</v>
      </c>
      <c r="F167" s="44">
        <v>3689192</v>
      </c>
      <c r="G167" s="44">
        <v>5</v>
      </c>
      <c r="H167" s="48" t="s">
        <v>353</v>
      </c>
      <c r="I167" s="48">
        <v>6.420355879182775E-2</v>
      </c>
      <c r="J167" s="48">
        <v>5.8012194434572673E-2</v>
      </c>
      <c r="K167" s="48">
        <v>0</v>
      </c>
      <c r="L167" s="44">
        <v>3689192</v>
      </c>
      <c r="R167" s="21"/>
      <c r="S167" s="21"/>
    </row>
    <row r="168" spans="1:19" s="43" customFormat="1">
      <c r="A168" s="44">
        <v>6</v>
      </c>
      <c r="B168" s="48" t="s">
        <v>169</v>
      </c>
      <c r="C168" s="48">
        <v>0</v>
      </c>
      <c r="D168" s="48">
        <v>0</v>
      </c>
      <c r="E168" s="48">
        <v>0.16766218771796124</v>
      </c>
      <c r="F168" s="44">
        <v>7434864</v>
      </c>
      <c r="G168" s="44">
        <v>6</v>
      </c>
      <c r="H168" s="48" t="s">
        <v>169</v>
      </c>
      <c r="I168" s="48">
        <v>0</v>
      </c>
      <c r="J168" s="48">
        <v>0</v>
      </c>
      <c r="K168" s="48">
        <v>0.12297808301901261</v>
      </c>
      <c r="L168" s="44">
        <v>7434864</v>
      </c>
      <c r="R168" s="21"/>
      <c r="S168" s="21"/>
    </row>
    <row r="169" spans="1:19" s="43" customFormat="1">
      <c r="A169" s="44">
        <v>7</v>
      </c>
      <c r="B169" s="48" t="s">
        <v>172</v>
      </c>
      <c r="C169" s="48">
        <v>0</v>
      </c>
      <c r="D169" s="48">
        <v>0</v>
      </c>
      <c r="E169" s="48">
        <v>4.9458881050344058E-2</v>
      </c>
      <c r="F169" s="44">
        <v>11115023</v>
      </c>
      <c r="G169" s="44">
        <v>7</v>
      </c>
      <c r="H169" s="48" t="s">
        <v>159</v>
      </c>
      <c r="I169" s="48">
        <v>0</v>
      </c>
      <c r="J169" s="48">
        <v>0</v>
      </c>
      <c r="K169" s="48">
        <v>8.2734130331404004E-2</v>
      </c>
      <c r="L169" s="44">
        <v>8497745</v>
      </c>
      <c r="R169" s="21"/>
      <c r="S169" s="21"/>
    </row>
    <row r="170" spans="1:19" s="43" customFormat="1">
      <c r="A170" s="44">
        <v>8</v>
      </c>
      <c r="B170" s="48" t="s">
        <v>168</v>
      </c>
      <c r="C170" s="48">
        <v>7.1799230103412146E-2</v>
      </c>
      <c r="D170" s="48">
        <v>0</v>
      </c>
      <c r="E170" s="48">
        <v>0</v>
      </c>
      <c r="F170" s="44">
        <v>3050596</v>
      </c>
      <c r="G170" s="44">
        <v>8</v>
      </c>
      <c r="H170" s="48" t="s">
        <v>321</v>
      </c>
      <c r="I170" s="48">
        <v>5.1652415517026207E-2</v>
      </c>
      <c r="J170" s="48">
        <v>0</v>
      </c>
      <c r="K170" s="48">
        <v>0</v>
      </c>
      <c r="L170" s="44">
        <v>14393110</v>
      </c>
      <c r="R170" s="21"/>
      <c r="S170" s="21"/>
    </row>
    <row r="171" spans="1:19" s="43" customFormat="1">
      <c r="A171" s="44">
        <v>9</v>
      </c>
      <c r="B171" s="48" t="s">
        <v>251</v>
      </c>
      <c r="C171" s="48">
        <v>0.23034745114117816</v>
      </c>
      <c r="D171" s="48">
        <v>0.24407787257231539</v>
      </c>
      <c r="E171" s="48">
        <v>0.23283823203925669</v>
      </c>
      <c r="F171" s="44">
        <v>5920853</v>
      </c>
      <c r="G171" s="44">
        <v>9</v>
      </c>
      <c r="H171" s="48" t="s">
        <v>251</v>
      </c>
      <c r="I171" s="48">
        <v>0.24228362800170156</v>
      </c>
      <c r="J171" s="48">
        <v>0.22894284841379431</v>
      </c>
      <c r="K171" s="48">
        <v>0.32732020215575297</v>
      </c>
      <c r="L171" s="44">
        <v>5920853</v>
      </c>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0ACD84DD-5848-4BCE-A98F-5C348F53571F}">
      <formula1>$C$113:$C$114</formula1>
    </dataValidation>
  </dataValidations>
  <hyperlinks>
    <hyperlink ref="O1:P1" location="Home_page" display="Back to home page" xr:uid="{CC63DA95-C6C7-40D6-9925-FB0ED51AC5C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1147149E-A19A-4C47-83ED-7AB1266D3179}">
          <x14:colorSeries rgb="FF323232"/>
          <x14:colorNegative rgb="FFD00000"/>
          <x14:colorAxis rgb="FF000000"/>
          <x14:colorMarkers rgb="FFD00000"/>
          <x14:colorFirst rgb="FFD00000"/>
          <x14:colorLast rgb="FFD00000"/>
          <x14:colorHigh rgb="FFD00000"/>
          <x14:colorLow rgb="FFD00000"/>
          <x14:sparklines>
            <x14:sparkline>
              <xm:f>'NSWOS demersal over 24m'!D3:N3</xm:f>
              <xm:sqref>C3</xm:sqref>
            </x14:sparkline>
            <x14:sparkline>
              <xm:f>'NSWOS demersal over 24m'!D4:N4</xm:f>
              <xm:sqref>C4</xm:sqref>
            </x14:sparkline>
            <x14:sparkline>
              <xm:f>'NSWOS demersal over 24m'!D5:N5</xm:f>
              <xm:sqref>C5</xm:sqref>
            </x14:sparkline>
            <x14:sparkline>
              <xm:f>'NSWOS demersal over 24m'!D6:N6</xm:f>
              <xm:sqref>C6</xm:sqref>
            </x14:sparkline>
            <x14:sparkline>
              <xm:f>'NSWOS demersal over 24m'!D7:N7</xm:f>
              <xm:sqref>C7</xm:sqref>
            </x14:sparkline>
            <x14:sparkline>
              <xm:f>'NSWOS demersal over 24m'!D8:N8</xm:f>
              <xm:sqref>C8</xm:sqref>
            </x14:sparkline>
            <x14:sparkline>
              <xm:f>'NSWOS demersal over 24m'!D9:N9</xm:f>
              <xm:sqref>C9</xm:sqref>
            </x14:sparkline>
            <x14:sparkline>
              <xm:f>'NSWOS demersal over 24m'!D10:N10</xm:f>
              <xm:sqref>C10</xm:sqref>
            </x14:sparkline>
            <x14:sparkline>
              <xm:f>'NSWOS demersal over 24m'!D11:N11</xm:f>
              <xm:sqref>C11</xm:sqref>
            </x14:sparkline>
            <x14:sparkline>
              <xm:f>'NSWOS demersal over 24m'!D12:N12</xm:f>
              <xm:sqref>C12</xm:sqref>
            </x14:sparkline>
            <x14:sparkline>
              <xm:f>'NSWOS demersal over 24m'!D13:N13</xm:f>
              <xm:sqref>C13</xm:sqref>
            </x14:sparkline>
            <x14:sparkline>
              <xm:f>'NSWOS demersal over 24m'!D14:N14</xm:f>
              <xm:sqref>C14</xm:sqref>
            </x14:sparkline>
            <x14:sparkline>
              <xm:f>'NSWOS demersal over 24m'!D15:N15</xm:f>
              <xm:sqref>C15</xm:sqref>
            </x14:sparkline>
            <x14:sparkline>
              <xm:f>'NSWOS demersal over 24m'!D16:N16</xm:f>
              <xm:sqref>C16</xm:sqref>
            </x14:sparkline>
            <x14:sparkline>
              <xm:f>'NSWOS demersal over 24m'!D17:N17</xm:f>
              <xm:sqref>C17</xm:sqref>
            </x14:sparkline>
            <x14:sparkline>
              <xm:f>'NSWOS demersal over 24m'!D18:N18</xm:f>
              <xm:sqref>C18</xm:sqref>
            </x14:sparkline>
            <x14:sparkline>
              <xm:f>'NSWOS demersal over 24m'!D19:N19</xm:f>
              <xm:sqref>C19</xm:sqref>
            </x14:sparkline>
            <x14:sparkline>
              <xm:f>'NSWOS demersal over 24m'!D20:N20</xm:f>
              <xm:sqref>C20</xm:sqref>
            </x14:sparkline>
            <x14:sparkline>
              <xm:f>'NSWOS demersal over 24m'!D21:N21</xm:f>
              <xm:sqref>C21</xm:sqref>
            </x14:sparkline>
            <x14:sparkline>
              <xm:f>'NSWOS demersal over 24m'!D22:N22</xm:f>
              <xm:sqref>C22</xm:sqref>
            </x14:sparkline>
            <x14:sparkline>
              <xm:f>'NSWOS demersal over 24m'!D23:N23</xm:f>
              <xm:sqref>C23</xm:sqref>
            </x14:sparkline>
            <x14:sparkline>
              <xm:f>'NSWOS demersal over 24m'!D24:N24</xm:f>
              <xm:sqref>C24</xm:sqref>
            </x14:sparkline>
            <x14:sparkline>
              <xm:f>'NSWOS demersal over 24m'!D25:N25</xm:f>
              <xm:sqref>C25</xm:sqref>
            </x14:sparkline>
            <x14:sparkline>
              <xm:f>'NSWOS demersal over 24m'!D26:N26</xm:f>
              <xm:sqref>C26</xm:sqref>
            </x14:sparkline>
            <x14:sparkline>
              <xm:f>'NSWOS demersal over 24m'!D27:N27</xm:f>
              <xm:sqref>C27</xm:sqref>
            </x14:sparkline>
            <x14:sparkline>
              <xm:f>'NSWOS demersal over 24m'!D28:N28</xm:f>
              <xm:sqref>C28</xm:sqref>
            </x14:sparkline>
            <x14:sparkline>
              <xm:f>'NSWOS demersal over 24m'!D29:N29</xm:f>
              <xm:sqref>C29</xm:sqref>
            </x14:sparkline>
            <x14:sparkline>
              <xm:f>'NSWOS demersal over 24m'!D30:N30</xm:f>
              <xm:sqref>C30</xm:sqref>
            </x14:sparkline>
            <x14:sparkline>
              <xm:f>'NSWOS demersal over 24m'!D31:N31</xm:f>
              <xm:sqref>C31</xm:sqref>
            </x14:sparkline>
            <x14:sparkline>
              <xm:f>'NSWOS demersal over 24m'!D32:N32</xm:f>
              <xm:sqref>C32</xm:sqref>
            </x14:sparkline>
            <x14:sparkline>
              <xm:f>'NSWOS demersal over 24m'!D33:N33</xm:f>
              <xm:sqref>C33</xm:sqref>
            </x14:sparkline>
            <x14:sparkline>
              <xm:f>'NSWOS demersal over 24m'!D34:N34</xm:f>
              <xm:sqref>C34</xm:sqref>
            </x14:sparkline>
            <x14:sparkline>
              <xm:f>'NSWOS demersal over 24m'!D35:N35</xm:f>
              <xm:sqref>C35</xm:sqref>
            </x14:sparkline>
            <x14:sparkline>
              <xm:f>'NSWOS demersal over 24m'!D36:N36</xm:f>
              <xm:sqref>C36</xm:sqref>
            </x14:sparkline>
            <x14:sparkline>
              <xm:f>'NSWOS demersal over 24m'!D37:N37</xm:f>
              <xm:sqref>C37</xm:sqref>
            </x14:sparkline>
            <x14:sparkline>
              <xm:f>'NSWOS demersal over 24m'!D38:N38</xm:f>
              <xm:sqref>C38</xm:sqref>
            </x14:sparkline>
            <x14:sparkline>
              <xm:f>'NSWOS demersal over 24m'!D39:N39</xm:f>
              <xm:sqref>C39</xm:sqref>
            </x14:sparkline>
            <x14:sparkline>
              <xm:f>'NSWOS demersal over 24m'!D40:N40</xm:f>
              <xm:sqref>C40</xm:sqref>
            </x14:sparkline>
            <x14:sparkline>
              <xm:f>'NSWOS demersal over 24m'!D41:N41</xm:f>
              <xm:sqref>C41</xm:sqref>
            </x14:sparkline>
            <x14:sparkline>
              <xm:f>'NSWOS demersal over 24m'!D42:N42</xm:f>
              <xm:sqref>C42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2ECD4-4642-4BAA-91EE-20415F70FE8F}">
  <sheetPr codeName="Feuil22">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24</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30</v>
      </c>
      <c r="E3" s="28">
        <v>20</v>
      </c>
      <c r="F3" s="28">
        <v>30</v>
      </c>
      <c r="G3" s="28">
        <v>28</v>
      </c>
      <c r="H3" s="28">
        <v>25</v>
      </c>
      <c r="I3" s="28">
        <v>25</v>
      </c>
      <c r="J3" s="28">
        <v>25</v>
      </c>
      <c r="K3" s="28">
        <v>23</v>
      </c>
      <c r="L3" s="28">
        <v>27</v>
      </c>
      <c r="M3" s="28">
        <v>26</v>
      </c>
      <c r="N3" s="28">
        <v>22</v>
      </c>
      <c r="O3" s="29">
        <f t="shared" ref="O3:O42" si="0">IF(N3=0,"",IFERROR(IF(AND(N3&gt;0,D3&lt;0),"na",IF(AND(N3&lt;0,D3&lt;0),-1,1)*(N3-D3)/D3),""))</f>
        <v>-0.26666666666666666</v>
      </c>
      <c r="P3" s="29">
        <f t="shared" ref="P3:P42" si="1">IF(N3=0,"",IFERROR(IF(AND(N3&gt;0,J3&lt;0),"na",IF(AND(N3&lt;0,J3&lt;0),-1,1)*(N3-J3)/J3),""))</f>
        <v>-0.12</v>
      </c>
    </row>
    <row r="4" spans="1:17" ht="18" customHeight="1">
      <c r="A4" s="185"/>
      <c r="B4" s="30" t="s">
        <v>190</v>
      </c>
      <c r="C4" s="31"/>
      <c r="D4" s="31">
        <v>15632</v>
      </c>
      <c r="E4" s="31">
        <v>10872</v>
      </c>
      <c r="F4" s="31">
        <v>15932</v>
      </c>
      <c r="G4" s="31">
        <v>15072</v>
      </c>
      <c r="H4" s="31">
        <v>13569</v>
      </c>
      <c r="I4" s="31">
        <v>13610</v>
      </c>
      <c r="J4" s="31">
        <v>13334</v>
      </c>
      <c r="K4" s="31">
        <v>12263</v>
      </c>
      <c r="L4" s="31">
        <v>14366</v>
      </c>
      <c r="M4" s="31">
        <v>14082</v>
      </c>
      <c r="N4" s="31">
        <v>12146</v>
      </c>
      <c r="O4" s="29">
        <f t="shared" si="0"/>
        <v>-0.22300409416581371</v>
      </c>
      <c r="P4" s="29">
        <f t="shared" si="1"/>
        <v>-8.9095545222738867E-2</v>
      </c>
    </row>
    <row r="5" spans="1:17" ht="18" customHeight="1">
      <c r="A5" s="185"/>
      <c r="B5" s="30" t="s">
        <v>191</v>
      </c>
      <c r="C5" s="31"/>
      <c r="D5" s="31">
        <v>6504</v>
      </c>
      <c r="E5" s="31">
        <v>4706</v>
      </c>
      <c r="F5" s="31">
        <v>7057</v>
      </c>
      <c r="G5" s="31">
        <v>6617</v>
      </c>
      <c r="H5" s="31">
        <v>6108</v>
      </c>
      <c r="I5" s="31">
        <v>6039</v>
      </c>
      <c r="J5" s="31">
        <v>6048</v>
      </c>
      <c r="K5" s="31">
        <v>5471</v>
      </c>
      <c r="L5" s="31">
        <v>6375</v>
      </c>
      <c r="M5" s="31">
        <v>6298</v>
      </c>
      <c r="N5" s="31">
        <v>5478</v>
      </c>
      <c r="O5" s="29">
        <f t="shared" si="0"/>
        <v>-0.15774907749077491</v>
      </c>
      <c r="P5" s="29">
        <f t="shared" si="1"/>
        <v>-9.4246031746031744E-2</v>
      </c>
      <c r="Q5" s="32"/>
    </row>
    <row r="6" spans="1:17" ht="18" customHeight="1">
      <c r="A6" s="185"/>
      <c r="B6" s="30" t="s">
        <v>192</v>
      </c>
      <c r="C6" s="31"/>
      <c r="D6" s="31">
        <v>12527.822265625</v>
      </c>
      <c r="E6" s="31">
        <v>8623.353515625</v>
      </c>
      <c r="F6" s="31">
        <v>12873.521484375</v>
      </c>
      <c r="G6" s="31">
        <v>12103.2060546875</v>
      </c>
      <c r="H6" s="31">
        <v>10986.9697265625</v>
      </c>
      <c r="I6" s="31">
        <v>11015.40625</v>
      </c>
      <c r="J6" s="31">
        <v>10890.71484375</v>
      </c>
      <c r="K6" s="31">
        <v>9994.849609375</v>
      </c>
      <c r="L6" s="31">
        <v>11771.9365234375</v>
      </c>
      <c r="M6" s="31">
        <v>11507.0361328125</v>
      </c>
      <c r="N6" s="31">
        <v>9895.4638671875</v>
      </c>
      <c r="O6" s="29">
        <f t="shared" si="0"/>
        <v>-0.21012098851852401</v>
      </c>
      <c r="P6" s="29">
        <f t="shared" si="1"/>
        <v>-9.1385275516019771E-2</v>
      </c>
    </row>
    <row r="7" spans="1:17" ht="18" customHeight="1">
      <c r="A7" s="185"/>
      <c r="B7" s="30" t="s">
        <v>193</v>
      </c>
      <c r="C7" s="31"/>
      <c r="D7" s="31">
        <v>20605.134765625</v>
      </c>
      <c r="E7" s="31">
        <v>17023.658203125</v>
      </c>
      <c r="F7" s="31">
        <v>24155.08203125</v>
      </c>
      <c r="G7" s="31">
        <v>26031.48046875</v>
      </c>
      <c r="H7" s="31">
        <v>27196.4609375</v>
      </c>
      <c r="I7" s="31">
        <v>27524.01171875</v>
      </c>
      <c r="J7" s="31">
        <v>28375.8046875</v>
      </c>
      <c r="K7" s="31">
        <v>26012.4765625</v>
      </c>
      <c r="L7" s="31">
        <v>26615.669921875</v>
      </c>
      <c r="M7" s="31">
        <v>19322.845703125</v>
      </c>
      <c r="N7" s="31">
        <v>23389.337890625</v>
      </c>
      <c r="O7" s="29">
        <f t="shared" si="0"/>
        <v>0.13512181097911635</v>
      </c>
      <c r="P7" s="29">
        <f t="shared" si="1"/>
        <v>-0.17572952914606221</v>
      </c>
    </row>
    <row r="8" spans="1:17" ht="18" customHeight="1">
      <c r="A8" s="185"/>
      <c r="B8" s="30" t="s">
        <v>194</v>
      </c>
      <c r="C8" s="33"/>
      <c r="D8" s="33">
        <f ca="1">34.755364*OFFSET(D$113,MATCH($N$1,$C$113:$C$114,0)-1,0)</f>
        <v>34.755364</v>
      </c>
      <c r="E8" s="33">
        <f ca="1">27.728072*OFFSET(E$113,MATCH($N$1,$C$113:$C$114,0)-1,0)</f>
        <v>27.728072000000001</v>
      </c>
      <c r="F8" s="33">
        <f ca="1">43.374772*OFFSET(F$113,MATCH($N$1,$C$113:$C$114,0)-1,0)</f>
        <v>43.374772</v>
      </c>
      <c r="G8" s="33">
        <f ca="1">45.391*OFFSET(G$113,MATCH($N$1,$C$113:$C$114,0)-1,0)</f>
        <v>45.390999999999998</v>
      </c>
      <c r="H8" s="33">
        <f ca="1">51.11876*OFFSET(H$113,MATCH($N$1,$C$113:$C$114,0)-1,0)</f>
        <v>51.118760000000002</v>
      </c>
      <c r="I8" s="33">
        <f ca="1">57.256064*OFFSET(I$113,MATCH($N$1,$C$113:$C$114,0)-1,0)</f>
        <v>57.256064000000002</v>
      </c>
      <c r="J8" s="33">
        <f ca="1">55.36876*OFFSET(J$113,MATCH($N$1,$C$113:$C$114,0)-1,0)</f>
        <v>55.368760000000002</v>
      </c>
      <c r="K8" s="33">
        <f ca="1">52.988276*OFFSET(K$113,MATCH($N$1,$C$113:$C$114,0)-1,0)</f>
        <v>52.988275999999999</v>
      </c>
      <c r="L8" s="33">
        <f ca="1">45.5914*OFFSET(L$113,MATCH($N$1,$C$113:$C$114,0)-1,0)</f>
        <v>45.5914</v>
      </c>
      <c r="M8" s="33">
        <f ca="1">35.078408*OFFSET(M$113,MATCH($N$1,$C$113:$C$114,0)-1,0)</f>
        <v>35.078408000000003</v>
      </c>
      <c r="N8" s="33">
        <v>39.858727999999999</v>
      </c>
      <c r="O8" s="29">
        <f t="shared" ca="1" si="0"/>
        <v>0.14683673000806435</v>
      </c>
      <c r="P8" s="29">
        <f t="shared" ca="1" si="1"/>
        <v>-0.28012243727329278</v>
      </c>
    </row>
    <row r="9" spans="1:17" ht="18" customHeight="1">
      <c r="A9" s="185"/>
      <c r="B9" s="30" t="s">
        <v>195</v>
      </c>
      <c r="C9" s="31"/>
      <c r="D9" s="31">
        <v>4525</v>
      </c>
      <c r="E9" s="31">
        <v>3233</v>
      </c>
      <c r="F9" s="31">
        <v>4515</v>
      </c>
      <c r="G9" s="31">
        <v>5346</v>
      </c>
      <c r="H9" s="31">
        <v>4995</v>
      </c>
      <c r="I9" s="31">
        <v>4823</v>
      </c>
      <c r="J9" s="31">
        <v>5527</v>
      </c>
      <c r="K9" s="31">
        <v>5280</v>
      </c>
      <c r="L9" s="31">
        <v>5413</v>
      </c>
      <c r="M9" s="31">
        <v>4213</v>
      </c>
      <c r="N9" s="31">
        <v>4572</v>
      </c>
      <c r="O9" s="29">
        <f t="shared" si="0"/>
        <v>1.0386740331491713E-2</v>
      </c>
      <c r="P9" s="29">
        <f t="shared" si="1"/>
        <v>-0.17278813099330559</v>
      </c>
    </row>
    <row r="10" spans="1:17" ht="18" customHeight="1">
      <c r="A10" s="185"/>
      <c r="B10" s="30" t="s">
        <v>196</v>
      </c>
      <c r="C10" s="31"/>
      <c r="D10" s="31">
        <v>6947.1500000000005</v>
      </c>
      <c r="E10" s="31">
        <v>4821.25</v>
      </c>
      <c r="F10" s="31">
        <v>6791.6</v>
      </c>
      <c r="G10" s="31">
        <v>8174</v>
      </c>
      <c r="H10" s="31">
        <v>7701.6500000000005</v>
      </c>
      <c r="I10" s="31">
        <v>7501</v>
      </c>
      <c r="J10" s="31">
        <v>8453.85</v>
      </c>
      <c r="K10" s="31">
        <v>8086.75</v>
      </c>
      <c r="L10" s="31">
        <v>8356.5499999999993</v>
      </c>
      <c r="M10" s="31">
        <v>6654.3</v>
      </c>
      <c r="N10" s="31">
        <v>7286.6</v>
      </c>
      <c r="O10" s="29">
        <f t="shared" si="0"/>
        <v>4.8861763456957141E-2</v>
      </c>
      <c r="P10" s="29">
        <f t="shared" si="1"/>
        <v>-0.13807318558999745</v>
      </c>
    </row>
    <row r="11" spans="1:17" ht="18" customHeight="1">
      <c r="A11" s="185"/>
      <c r="B11" s="30" t="s">
        <v>197</v>
      </c>
      <c r="C11" s="31"/>
      <c r="D11" s="31">
        <v>219.24110412597656</v>
      </c>
      <c r="E11" s="31">
        <v>148.79505920410156</v>
      </c>
      <c r="F11" s="31">
        <v>238.77951049804688</v>
      </c>
      <c r="G11" s="31">
        <v>276.639404296875</v>
      </c>
      <c r="H11" s="31">
        <v>322.75033569335938</v>
      </c>
      <c r="I11" s="31">
        <v>209.13099670410156</v>
      </c>
      <c r="J11" s="31">
        <v>279.88345336914063</v>
      </c>
      <c r="K11" s="31">
        <v>235.55975341796875</v>
      </c>
      <c r="L11" s="31">
        <v>267.51434326171875</v>
      </c>
      <c r="M11" s="31">
        <v>241.10368347167969</v>
      </c>
      <c r="N11" s="31">
        <v>268.85781860351563</v>
      </c>
      <c r="O11" s="34">
        <f t="shared" si="0"/>
        <v>0.22631118683396684</v>
      </c>
      <c r="P11" s="34">
        <f t="shared" si="1"/>
        <v>-3.9393664158785403E-2</v>
      </c>
    </row>
    <row r="12" spans="1:17" ht="18" customHeight="1">
      <c r="A12" s="186" t="s">
        <v>198</v>
      </c>
      <c r="B12" s="35" t="s">
        <v>199</v>
      </c>
      <c r="C12" s="36"/>
      <c r="D12" s="36">
        <v>24.821332931518555</v>
      </c>
      <c r="E12" s="36">
        <v>24.888999938964844</v>
      </c>
      <c r="F12" s="36">
        <v>25.580333709716797</v>
      </c>
      <c r="G12" s="36">
        <v>25.558929443359375</v>
      </c>
      <c r="H12" s="36">
        <v>25.900400161743164</v>
      </c>
      <c r="I12" s="36">
        <v>26.18120002746582</v>
      </c>
      <c r="J12" s="36">
        <v>26.014400482177734</v>
      </c>
      <c r="K12" s="36">
        <v>26.026521682739258</v>
      </c>
      <c r="L12" s="36">
        <v>26.001482009887695</v>
      </c>
      <c r="M12" s="36">
        <v>26.144615173339844</v>
      </c>
      <c r="N12" s="36">
        <v>26.268636703491211</v>
      </c>
      <c r="O12" s="29">
        <f t="shared" si="0"/>
        <v>5.8308865843979117E-2</v>
      </c>
      <c r="P12" s="29">
        <f t="shared" si="1"/>
        <v>9.7729033381973134E-3</v>
      </c>
    </row>
    <row r="13" spans="1:17" ht="18" customHeight="1">
      <c r="A13" s="187"/>
      <c r="B13" s="37" t="s">
        <v>190</v>
      </c>
      <c r="C13" s="31"/>
      <c r="D13" s="31">
        <v>521.066650390625</v>
      </c>
      <c r="E13" s="31">
        <v>543.5999755859375</v>
      </c>
      <c r="F13" s="31">
        <v>531.066650390625</v>
      </c>
      <c r="G13" s="31">
        <v>538.28570556640625</v>
      </c>
      <c r="H13" s="31">
        <v>542.760009765625</v>
      </c>
      <c r="I13" s="31">
        <v>544.4000244140625</v>
      </c>
      <c r="J13" s="31">
        <v>533.3599853515625</v>
      </c>
      <c r="K13" s="31">
        <v>533.17388916015625</v>
      </c>
      <c r="L13" s="31">
        <v>532.0740966796875</v>
      </c>
      <c r="M13" s="31">
        <v>541.6153564453125</v>
      </c>
      <c r="N13" s="31">
        <v>552.09088134765625</v>
      </c>
      <c r="O13" s="29">
        <f t="shared" si="0"/>
        <v>5.9539851444673143E-2</v>
      </c>
      <c r="P13" s="29">
        <f t="shared" si="1"/>
        <v>3.5118675023487825E-2</v>
      </c>
    </row>
    <row r="14" spans="1:17" ht="18" customHeight="1">
      <c r="A14" s="187"/>
      <c r="B14" s="37" t="s">
        <v>191</v>
      </c>
      <c r="C14" s="31"/>
      <c r="D14" s="31">
        <v>216.80000305175781</v>
      </c>
      <c r="E14" s="31">
        <v>235.30000305175781</v>
      </c>
      <c r="F14" s="31">
        <v>235.23333740234375</v>
      </c>
      <c r="G14" s="31">
        <v>236.32142639160156</v>
      </c>
      <c r="H14" s="31">
        <v>244.32000732421875</v>
      </c>
      <c r="I14" s="31">
        <v>241.55999755859375</v>
      </c>
      <c r="J14" s="31">
        <v>241.91999816894531</v>
      </c>
      <c r="K14" s="31">
        <v>237.86956787109375</v>
      </c>
      <c r="L14" s="31">
        <v>236.11111450195313</v>
      </c>
      <c r="M14" s="31">
        <v>242.23077392578125</v>
      </c>
      <c r="N14" s="31">
        <v>249</v>
      </c>
      <c r="O14" s="29">
        <f t="shared" si="0"/>
        <v>0.14852396907279983</v>
      </c>
      <c r="P14" s="29">
        <f t="shared" si="1"/>
        <v>2.9265880806225678E-2</v>
      </c>
    </row>
    <row r="15" spans="1:17" ht="18" customHeight="1">
      <c r="A15" s="187"/>
      <c r="B15" s="37" t="s">
        <v>192</v>
      </c>
      <c r="C15" s="31"/>
      <c r="D15" s="31">
        <v>417.59408569335938</v>
      </c>
      <c r="E15" s="31">
        <v>431.16766357421875</v>
      </c>
      <c r="F15" s="31">
        <v>429.11737060546875</v>
      </c>
      <c r="G15" s="31">
        <v>432.25735473632813</v>
      </c>
      <c r="H15" s="31">
        <v>439.47879028320313</v>
      </c>
      <c r="I15" s="31">
        <v>440.61624145507813</v>
      </c>
      <c r="J15" s="31">
        <v>435.62860107421875</v>
      </c>
      <c r="K15" s="31">
        <v>434.55868530273438</v>
      </c>
      <c r="L15" s="31">
        <v>435.99765014648438</v>
      </c>
      <c r="M15" s="31">
        <v>442.57830810546875</v>
      </c>
      <c r="N15" s="31">
        <v>449.7938232421875</v>
      </c>
      <c r="O15" s="29">
        <f t="shared" si="0"/>
        <v>7.7107743265484113E-2</v>
      </c>
      <c r="P15" s="29">
        <f t="shared" si="1"/>
        <v>3.2516740482692499E-2</v>
      </c>
    </row>
    <row r="16" spans="1:17" ht="18" customHeight="1">
      <c r="A16" s="187"/>
      <c r="B16" s="37" t="s">
        <v>193</v>
      </c>
      <c r="C16" s="33"/>
      <c r="D16" s="33">
        <v>686.83782958984375</v>
      </c>
      <c r="E16" s="33">
        <v>851.18292236328125</v>
      </c>
      <c r="F16" s="33">
        <v>805.16943359375</v>
      </c>
      <c r="G16" s="33">
        <v>929.69573974609375</v>
      </c>
      <c r="H16" s="33">
        <v>1087.8585205078125</v>
      </c>
      <c r="I16" s="33">
        <v>1100.96044921875</v>
      </c>
      <c r="J16" s="33">
        <v>1135.0322265625</v>
      </c>
      <c r="K16" s="33">
        <v>1130.9771728515625</v>
      </c>
      <c r="L16" s="33">
        <v>985.76556396484375</v>
      </c>
      <c r="M16" s="33">
        <v>743.18634033203125</v>
      </c>
      <c r="N16" s="33">
        <v>1063.1517333984375</v>
      </c>
      <c r="O16" s="29">
        <f t="shared" si="0"/>
        <v>0.54789338559484357</v>
      </c>
      <c r="P16" s="29">
        <f t="shared" si="1"/>
        <v>-6.3329032852006376E-2</v>
      </c>
    </row>
    <row r="17" spans="1:16" ht="18" customHeight="1">
      <c r="A17" s="187"/>
      <c r="B17" s="37" t="s">
        <v>200</v>
      </c>
      <c r="C17" s="33"/>
      <c r="D17" s="33">
        <f ca="1">1158.512125*OFFSET(D$113,MATCH($N$1,$C$113:$C$114,0)-1,0)</f>
        <v>1158.512125</v>
      </c>
      <c r="E17" s="33">
        <f ca="1">1386.403625*OFFSET(E$113,MATCH($N$1,$C$113:$C$114,0)-1,0)</f>
        <v>1386.4036249999999</v>
      </c>
      <c r="F17" s="33">
        <f ca="1">1445.82575*OFFSET(F$113,MATCH($N$1,$C$113:$C$114,0)-1,0)</f>
        <v>1445.82575</v>
      </c>
      <c r="G17" s="33">
        <f ca="1">1621.10725*OFFSET(G$113,MATCH($N$1,$C$113:$C$114,0)-1,0)</f>
        <v>1621.10725</v>
      </c>
      <c r="H17" s="33">
        <f ca="1">2044.750375*OFFSET(H$113,MATCH($N$1,$C$113:$C$114,0)-1,0)</f>
        <v>2044.7503750000001</v>
      </c>
      <c r="I17" s="33">
        <f ca="1">2290.2425*OFFSET(I$113,MATCH($N$1,$C$113:$C$114,0)-1,0)</f>
        <v>2290.2424999999998</v>
      </c>
      <c r="J17" s="33">
        <f ca="1">2214.7505*OFFSET(J$113,MATCH($N$1,$C$113:$C$114,0)-1,0)</f>
        <v>2214.7505000000001</v>
      </c>
      <c r="K17" s="33">
        <f ca="1">2303.838*OFFSET(K$113,MATCH($N$1,$C$113:$C$114,0)-1,0)</f>
        <v>2303.8380000000002</v>
      </c>
      <c r="L17" s="33">
        <f ca="1">1688.570375*OFFSET(L$113,MATCH($N$1,$C$113:$C$114,0)-1,0)</f>
        <v>1688.570375</v>
      </c>
      <c r="M17" s="33">
        <f ca="1">1349.1695*OFFSET(M$113,MATCH($N$1,$C$113:$C$114,0)-1,0)</f>
        <v>1349.1695</v>
      </c>
      <c r="N17" s="33">
        <v>1811.7603750000001</v>
      </c>
      <c r="O17" s="29">
        <f t="shared" ca="1" si="0"/>
        <v>0.56386828925074917</v>
      </c>
      <c r="P17" s="29">
        <f t="shared" ca="1" si="1"/>
        <v>-0.18195734688850956</v>
      </c>
    </row>
    <row r="18" spans="1:16" ht="18" customHeight="1">
      <c r="A18" s="187"/>
      <c r="B18" s="37" t="s">
        <v>195</v>
      </c>
      <c r="C18" s="31"/>
      <c r="D18" s="31">
        <v>150.83332824707031</v>
      </c>
      <c r="E18" s="31">
        <v>161.64999389648438</v>
      </c>
      <c r="F18" s="31">
        <v>150.5</v>
      </c>
      <c r="G18" s="31">
        <v>190.92857360839844</v>
      </c>
      <c r="H18" s="31">
        <v>199.80000305175781</v>
      </c>
      <c r="I18" s="31">
        <v>192.91999816894531</v>
      </c>
      <c r="J18" s="31">
        <v>221.08000183105469</v>
      </c>
      <c r="K18" s="31">
        <v>229.56521606445313</v>
      </c>
      <c r="L18" s="31">
        <v>200.48147583007813</v>
      </c>
      <c r="M18" s="31">
        <v>162.03846740722656</v>
      </c>
      <c r="N18" s="31">
        <v>207.81817626953125</v>
      </c>
      <c r="O18" s="29">
        <f t="shared" si="0"/>
        <v>0.37780011012630937</v>
      </c>
      <c r="P18" s="29">
        <f t="shared" si="1"/>
        <v>-5.9986545375813244E-2</v>
      </c>
    </row>
    <row r="19" spans="1:16" ht="18" customHeight="1">
      <c r="A19" s="187"/>
      <c r="B19" s="37" t="s">
        <v>201</v>
      </c>
      <c r="C19" s="31"/>
      <c r="D19" s="31">
        <v>23.066667556762695</v>
      </c>
      <c r="E19" s="31">
        <v>20.649999618530273</v>
      </c>
      <c r="F19" s="31">
        <v>23.566667556762695</v>
      </c>
      <c r="G19" s="31">
        <v>23.928571701049805</v>
      </c>
      <c r="H19" s="31">
        <v>23.920000076293945</v>
      </c>
      <c r="I19" s="31">
        <v>23.239999771118164</v>
      </c>
      <c r="J19" s="31">
        <v>21.959999084472656</v>
      </c>
      <c r="K19" s="31">
        <v>24.695652008056641</v>
      </c>
      <c r="L19" s="31">
        <v>26.074073791503906</v>
      </c>
      <c r="M19" s="31">
        <v>24.538461685180664</v>
      </c>
      <c r="N19" s="31">
        <v>23.363636016845703</v>
      </c>
      <c r="O19" s="29">
        <f t="shared" si="0"/>
        <v>1.2874354709115425E-2</v>
      </c>
      <c r="P19" s="29">
        <f t="shared" si="1"/>
        <v>6.3917895760092353E-2</v>
      </c>
    </row>
    <row r="20" spans="1:16" ht="18" customHeight="1">
      <c r="A20" s="187"/>
      <c r="B20" s="37" t="s">
        <v>202</v>
      </c>
      <c r="C20" s="38"/>
      <c r="D20" s="38">
        <v>4.5536212921142578</v>
      </c>
      <c r="E20" s="38">
        <v>5.265592098236084</v>
      </c>
      <c r="F20" s="38">
        <v>5.3499631881713867</v>
      </c>
      <c r="G20" s="38">
        <v>4.8693380355834961</v>
      </c>
      <c r="H20" s="38">
        <v>5.444737434387207</v>
      </c>
      <c r="I20" s="38">
        <v>5.7068238258361816</v>
      </c>
      <c r="J20" s="38">
        <v>5.1340336799621582</v>
      </c>
      <c r="K20" s="38">
        <v>4.926605224609375</v>
      </c>
      <c r="L20" s="38">
        <v>4.9169907569885254</v>
      </c>
      <c r="M20" s="38">
        <v>4.5864810943603516</v>
      </c>
      <c r="N20" s="38">
        <v>5.1157784461975098</v>
      </c>
      <c r="O20" s="29">
        <f t="shared" si="0"/>
        <v>0.1234527682521093</v>
      </c>
      <c r="P20" s="29">
        <f t="shared" si="1"/>
        <v>-3.5557292574642774E-3</v>
      </c>
    </row>
    <row r="21" spans="1:16" ht="18" customHeight="1">
      <c r="A21" s="188"/>
      <c r="B21" s="39" t="s">
        <v>203</v>
      </c>
      <c r="C21" s="40"/>
      <c r="D21" s="40">
        <f ca="1">1687*OFFSET(D$113,MATCH($N$1,$C$113:$C$114,0)-1,0)</f>
        <v>1687</v>
      </c>
      <c r="E21" s="40">
        <f ca="1">1629*OFFSET(E$113,MATCH($N$1,$C$113:$C$114,0)-1,0)</f>
        <v>1629</v>
      </c>
      <c r="F21" s="40">
        <f ca="1">1796*OFFSET(F$113,MATCH($N$1,$C$113:$C$114,0)-1,0)</f>
        <v>1796</v>
      </c>
      <c r="G21" s="40">
        <f ca="1">1744*OFFSET(G$113,MATCH($N$1,$C$113:$C$114,0)-1,0)</f>
        <v>1744</v>
      </c>
      <c r="H21" s="40">
        <f ca="1">1880*OFFSET(H$113,MATCH($N$1,$C$113:$C$114,0)-1,0)</f>
        <v>1880</v>
      </c>
      <c r="I21" s="40">
        <f ca="1">2080*OFFSET(I$113,MATCH($N$1,$C$113:$C$114,0)-1,0)</f>
        <v>2080</v>
      </c>
      <c r="J21" s="40">
        <f ca="1">1951*OFFSET(J$113,MATCH($N$1,$C$113:$C$114,0)-1,0)</f>
        <v>1951</v>
      </c>
      <c r="K21" s="40">
        <f ca="1">2037*OFFSET(K$113,MATCH($N$1,$C$113:$C$114,0)-1,0)</f>
        <v>2037</v>
      </c>
      <c r="L21" s="40">
        <f ca="1">1713*OFFSET(L$113,MATCH($N$1,$C$113:$C$114,0)-1,0)</f>
        <v>1713</v>
      </c>
      <c r="M21" s="40">
        <f ca="1">1815*OFFSET(M$113,MATCH($N$1,$C$113:$C$114,0)-1,0)</f>
        <v>1815</v>
      </c>
      <c r="N21" s="40">
        <v>1704</v>
      </c>
      <c r="O21" s="34">
        <f t="shared" ca="1" si="0"/>
        <v>1.0077059869590991E-2</v>
      </c>
      <c r="P21" s="34">
        <f t="shared" ca="1" si="1"/>
        <v>-0.12660174269605332</v>
      </c>
    </row>
    <row r="22" spans="1:16" ht="18" customHeight="1">
      <c r="A22" s="189" t="s">
        <v>204</v>
      </c>
      <c r="B22" s="35" t="s">
        <v>205</v>
      </c>
      <c r="C22" s="41"/>
      <c r="D22" s="41">
        <v>8.4675204750370394</v>
      </c>
      <c r="E22" s="41">
        <v>9.6634899870868356</v>
      </c>
      <c r="F22" s="41">
        <v>9.9904098579477321</v>
      </c>
      <c r="G22" s="41">
        <v>8.924383222780703</v>
      </c>
      <c r="H22" s="41">
        <v>9.9660243818735381</v>
      </c>
      <c r="I22" s="41">
        <v>10.454790022011579</v>
      </c>
      <c r="J22" s="41">
        <v>9.6376501014087115</v>
      </c>
      <c r="K22" s="41">
        <v>9.2494094172373664</v>
      </c>
      <c r="L22" s="41">
        <v>9.1981926545015504</v>
      </c>
      <c r="M22" s="41">
        <v>8.3597903337356758</v>
      </c>
      <c r="N22" s="41">
        <v>9.2889663380365608</v>
      </c>
      <c r="O22" s="29">
        <f t="shared" si="0"/>
        <v>9.7011381953100995E-2</v>
      </c>
      <c r="P22" s="29">
        <f t="shared" si="1"/>
        <v>-3.617933414299658E-2</v>
      </c>
    </row>
    <row r="23" spans="1:16" ht="18" customHeight="1">
      <c r="A23" s="189"/>
      <c r="B23" s="37" t="s">
        <v>206</v>
      </c>
      <c r="C23" s="38"/>
      <c r="D23" s="38">
        <f ca="1">14.2824473498704*OFFSET(D$113,MATCH($N$1,$C$113:$C$114,0)-1,0)</f>
        <v>14.282447349870401</v>
      </c>
      <c r="E23" s="38">
        <f ca="1">15.7398570815433*OFFSET(E$113,MATCH($N$1,$C$113:$C$114,0)-1,0)</f>
        <v>15.739857081543301</v>
      </c>
      <c r="F23" s="38">
        <f ca="1">17.9395680250855*OFFSET(F$113,MATCH($N$1,$C$113:$C$114,0)-1,0)</f>
        <v>17.939568025085499</v>
      </c>
      <c r="G23" s="38">
        <f ca="1">15.5614161985719*OFFSET(G$113,MATCH($N$1,$C$113:$C$114,0)-1,0)</f>
        <v>15.5614161985719</v>
      </c>
      <c r="H23" s="38">
        <f ca="1">18.7322447799394*OFFSET(H$113,MATCH($N$1,$C$113:$C$114,0)-1,0)</f>
        <v>18.7322447799394</v>
      </c>
      <c r="I23" s="38">
        <f ca="1">21.7482875556317*OFFSET(I$113,MATCH($N$1,$C$113:$C$114,0)-1,0)</f>
        <v>21.748287555631698</v>
      </c>
      <c r="J23" s="38">
        <f ca="1">18.8056249694023*OFFSET(J$113,MATCH($N$1,$C$113:$C$114,0)-1,0)</f>
        <v>18.805624969402299</v>
      </c>
      <c r="K23" s="38">
        <f ca="1">18.8413536581486*OFFSET(K$113,MATCH($N$1,$C$113:$C$114,0)-1,0)</f>
        <v>18.841353658148599</v>
      </c>
      <c r="L23" s="38">
        <f ca="1">15.7560744539133*OFFSET(L$113,MATCH($N$1,$C$113:$C$114,0)-1,0)</f>
        <v>15.7560744539133</v>
      </c>
      <c r="M23" s="38">
        <f ca="1">15.1762398372823*OFFSET(M$113,MATCH($N$1,$C$113:$C$114,0)-1,0)</f>
        <v>15.176239837282299</v>
      </c>
      <c r="N23" s="38">
        <v>15.829707658160164</v>
      </c>
      <c r="O23" s="29">
        <f t="shared" ca="1" si="0"/>
        <v>0.10833299576656959</v>
      </c>
      <c r="P23" s="29">
        <f t="shared" ca="1" si="1"/>
        <v>-0.15824612668199556</v>
      </c>
    </row>
    <row r="24" spans="1:16" ht="18" customHeight="1">
      <c r="A24" s="189"/>
      <c r="B24" s="37" t="s">
        <v>153</v>
      </c>
      <c r="C24" s="38"/>
      <c r="D24" s="38">
        <f ca="1">13.4931475540477*OFFSET(D$113,MATCH($N$1,$C$113:$C$114,0)-1,0)</f>
        <v>13.493147554047701</v>
      </c>
      <c r="E24" s="38">
        <f ca="1">15.1824149648309*OFFSET(E$113,MATCH($N$1,$C$113:$C$114,0)-1,0)</f>
        <v>15.182414964830899</v>
      </c>
      <c r="F24" s="38">
        <f ca="1">16.068777407503*OFFSET(F$113,MATCH($N$1,$C$113:$C$114,0)-1,0)</f>
        <v>16.068777407502999</v>
      </c>
      <c r="G24" s="38">
        <f ca="1">14.6071788677278*OFFSET(G$113,MATCH($N$1,$C$113:$C$114,0)-1,0)</f>
        <v>14.6071788677278</v>
      </c>
      <c r="H24" s="38">
        <f ca="1">15.5814954273028*OFFSET(H$113,MATCH($N$1,$C$113:$C$114,0)-1,0)</f>
        <v>15.5814954273028</v>
      </c>
      <c r="I24" s="38">
        <f ca="1">18.7671057112143*OFFSET(I$113,MATCH($N$1,$C$113:$C$114,0)-1,0)</f>
        <v>18.767105711214299</v>
      </c>
      <c r="J24" s="38">
        <f ca="1">16.2280496321239*OFFSET(J$113,MATCH($N$1,$C$113:$C$114,0)-1,0)</f>
        <v>16.228049632123899</v>
      </c>
      <c r="K24" s="38">
        <f ca="1">16.5244699186865*OFFSET(K$113,MATCH($N$1,$C$113:$C$114,0)-1,0)</f>
        <v>16.524469918686499</v>
      </c>
      <c r="L24" s="38">
        <f ca="1">13.5658472918262*OFFSET(L$113,MATCH($N$1,$C$113:$C$114,0)-1,0)</f>
        <v>13.5658472918262</v>
      </c>
      <c r="M24" s="38">
        <f ca="1">13.6683296255497*OFFSET(M$113,MATCH($N$1,$C$113:$C$114,0)-1,0)</f>
        <v>13.668329625549701</v>
      </c>
      <c r="N24" s="38">
        <v>14.803726305386748</v>
      </c>
      <c r="O24" s="29">
        <f t="shared" ca="1" si="0"/>
        <v>9.7129209184842677E-2</v>
      </c>
      <c r="P24" s="29">
        <f t="shared" ca="1" si="1"/>
        <v>-8.7769224215192246E-2</v>
      </c>
    </row>
    <row r="25" spans="1:16" ht="18" customHeight="1">
      <c r="A25" s="189"/>
      <c r="B25" s="37" t="s">
        <v>154</v>
      </c>
      <c r="C25" s="38"/>
      <c r="D25" s="38">
        <f ca="1">1.52054992163363*OFFSET(D$113,MATCH($N$1,$C$113:$C$114,0)-1,0)</f>
        <v>1.52054992163363</v>
      </c>
      <c r="E25" s="38">
        <f ca="1">3.52082483890032*OFFSET(E$113,MATCH($N$1,$C$113:$C$114,0)-1,0)</f>
        <v>3.5208248389003201</v>
      </c>
      <c r="F25" s="38">
        <f ca="1">4.27064009502851*OFFSET(F$113,MATCH($N$1,$C$113:$C$114,0)-1,0)</f>
        <v>4.2706400950285097</v>
      </c>
      <c r="G25" s="38">
        <f ca="1">1.42367083926631*OFFSET(G$113,MATCH($N$1,$C$113:$C$114,0)-1,0)</f>
        <v>1.42367083926631</v>
      </c>
      <c r="H25" s="38">
        <f ca="1">3.57109144965023*OFFSET(H$113,MATCH($N$1,$C$113:$C$114,0)-1,0)</f>
        <v>3.57109144965023</v>
      </c>
      <c r="I25" s="38">
        <f ca="1">3.84325530982019*OFFSET(I$113,MATCH($N$1,$C$113:$C$114,0)-1,0)</f>
        <v>3.84325530982019</v>
      </c>
      <c r="J25" s="38">
        <f ca="1">2.62955684121719*OFFSET(J$113,MATCH($N$1,$C$113:$C$114,0)-1,0)</f>
        <v>2.6295568412171901</v>
      </c>
      <c r="K25" s="38">
        <f ca="1">2.37417391729928*OFFSET(K$113,MATCH($N$1,$C$113:$C$114,0)-1,0)</f>
        <v>2.37417391729928</v>
      </c>
      <c r="L25" s="38">
        <f ca="1">2.54523799699862*OFFSET(L$113,MATCH($N$1,$C$113:$C$114,0)-1,0)</f>
        <v>2.5452379969986199</v>
      </c>
      <c r="M25" s="38">
        <f ca="1">1.98319110764671*OFFSET(M$113,MATCH($N$1,$C$113:$C$114,0)-1,0)</f>
        <v>1.9831911076467099</v>
      </c>
      <c r="N25" s="38">
        <v>1.5217271909835948</v>
      </c>
      <c r="O25" s="29">
        <f t="shared" ca="1" si="0"/>
        <v>7.7423919676372068E-4</v>
      </c>
      <c r="P25" s="29">
        <f t="shared" ca="1" si="1"/>
        <v>-0.4212989933774523</v>
      </c>
    </row>
    <row r="26" spans="1:16" ht="18" customHeight="1">
      <c r="A26" s="189"/>
      <c r="B26" s="37" t="s">
        <v>207</v>
      </c>
      <c r="C26" s="33"/>
      <c r="D26" s="33">
        <f ca="1">158.52*OFFSET(D$113,MATCH($N$1,$C$113:$C$114,0)-1,0)</f>
        <v>158.52000000000001</v>
      </c>
      <c r="E26" s="33">
        <f ca="1">186.35*OFFSET(E$113,MATCH($N$1,$C$113:$C$114,0)-1,0)</f>
        <v>186.35</v>
      </c>
      <c r="F26" s="33">
        <f ca="1">181.65*OFFSET(F$113,MATCH($N$1,$C$113:$C$114,0)-1,0)</f>
        <v>181.65</v>
      </c>
      <c r="G26" s="33">
        <f ca="1">164.08*OFFSET(G$113,MATCH($N$1,$C$113:$C$114,0)-1,0)</f>
        <v>164.08</v>
      </c>
      <c r="H26" s="33">
        <f ca="1">158.39*OFFSET(H$113,MATCH($N$1,$C$113:$C$114,0)-1,0)</f>
        <v>158.38999999999999</v>
      </c>
      <c r="I26" s="33">
        <f ca="1">273.78*OFFSET(I$113,MATCH($N$1,$C$113:$C$114,0)-1,0)</f>
        <v>273.77999999999997</v>
      </c>
      <c r="J26" s="33">
        <f ca="1">197.83*OFFSET(J$113,MATCH($N$1,$C$113:$C$114,0)-1,0)</f>
        <v>197.83</v>
      </c>
      <c r="K26" s="33">
        <f ca="1">224.94*OFFSET(K$113,MATCH($N$1,$C$113:$C$114,0)-1,0)</f>
        <v>224.94</v>
      </c>
      <c r="L26" s="33">
        <f ca="1">170.43*OFFSET(L$113,MATCH($N$1,$C$113:$C$114,0)-1,0)</f>
        <v>170.43</v>
      </c>
      <c r="M26" s="33">
        <f ca="1">145.49*OFFSET(M$113,MATCH($N$1,$C$113:$C$114,0)-1,0)</f>
        <v>145.49</v>
      </c>
      <c r="N26" s="33">
        <v>148.26</v>
      </c>
      <c r="O26" s="29">
        <f t="shared" ca="1" si="0"/>
        <v>-6.4723694171082632E-2</v>
      </c>
      <c r="P26" s="29">
        <f t="shared" ca="1" si="1"/>
        <v>-0.25056867007026246</v>
      </c>
    </row>
    <row r="27" spans="1:16" ht="18" customHeight="1">
      <c r="A27" s="190"/>
      <c r="B27" s="37" t="s">
        <v>208</v>
      </c>
      <c r="C27" s="33"/>
      <c r="D27" s="33">
        <f ca="1">16.87*OFFSET(D$113,MATCH($N$1,$C$113:$C$114,0)-1,0)</f>
        <v>16.87</v>
      </c>
      <c r="E27" s="33">
        <f ca="1">41.68*OFFSET(E$113,MATCH($N$1,$C$113:$C$114,0)-1,0)</f>
        <v>41.68</v>
      </c>
      <c r="F27" s="33">
        <f ca="1">43.24*OFFSET(F$113,MATCH($N$1,$C$113:$C$114,0)-1,0)</f>
        <v>43.24</v>
      </c>
      <c r="G27" s="33">
        <f ca="1">15.01*OFFSET(G$113,MATCH($N$1,$C$113:$C$114,0)-1,0)</f>
        <v>15.01</v>
      </c>
      <c r="H27" s="33">
        <f ca="1">30.19*OFFSET(H$113,MATCH($N$1,$C$113:$C$114,0)-1,0)</f>
        <v>30.19</v>
      </c>
      <c r="I27" s="33">
        <f ca="1">48.38*OFFSET(I$113,MATCH($N$1,$C$113:$C$114,0)-1,0)</f>
        <v>48.38</v>
      </c>
      <c r="J27" s="33">
        <f ca="1">27.66*OFFSET(J$113,MATCH($N$1,$C$113:$C$114,0)-1,0)</f>
        <v>27.66</v>
      </c>
      <c r="K27" s="33">
        <f ca="1">28.34*OFFSET(K$113,MATCH($N$1,$C$113:$C$114,0)-1,0)</f>
        <v>28.34</v>
      </c>
      <c r="L27" s="33">
        <f ca="1">27.53*OFFSET(L$113,MATCH($N$1,$C$113:$C$114,0)-1,0)</f>
        <v>27.53</v>
      </c>
      <c r="M27" s="33">
        <f ca="1">19.01*OFFSET(M$113,MATCH($N$1,$C$113:$C$114,0)-1,0)</f>
        <v>19.010000000000002</v>
      </c>
      <c r="N27" s="33">
        <v>14.25</v>
      </c>
      <c r="O27" s="34">
        <f t="shared" ca="1" si="0"/>
        <v>-0.1553052756372259</v>
      </c>
      <c r="P27" s="34">
        <f t="shared" ca="1" si="1"/>
        <v>-0.48481561822125813</v>
      </c>
    </row>
    <row r="28" spans="1:16" s="78" customFormat="1" ht="18" customHeight="1">
      <c r="A28" s="191" t="s">
        <v>209</v>
      </c>
      <c r="B28" s="82" t="s">
        <v>200</v>
      </c>
      <c r="C28" s="83"/>
      <c r="D28" s="83">
        <f ca="1">1158.5*OFFSET(D$113,MATCH($N$1,$C$113:$C$114,0)-1,0)</f>
        <v>1158.5</v>
      </c>
      <c r="E28" s="83">
        <f ca="1">1386.4*OFFSET(E$113,MATCH($N$1,$C$113:$C$114,0)-1,0)</f>
        <v>1386.4</v>
      </c>
      <c r="F28" s="83">
        <f ca="1">1445.8*OFFSET(F$113,MATCH($N$1,$C$113:$C$114,0)-1,0)</f>
        <v>1445.8</v>
      </c>
      <c r="G28" s="83">
        <f ca="1">1621.1*OFFSET(G$113,MATCH($N$1,$C$113:$C$114,0)-1,0)</f>
        <v>1621.1</v>
      </c>
      <c r="H28" s="83">
        <f ca="1">2044.8*OFFSET(H$113,MATCH($N$1,$C$113:$C$114,0)-1,0)</f>
        <v>2044.8</v>
      </c>
      <c r="I28" s="83">
        <f ca="1">2290.2*OFFSET(I$113,MATCH($N$1,$C$113:$C$114,0)-1,0)</f>
        <v>2290.1999999999998</v>
      </c>
      <c r="J28" s="83">
        <f ca="1">2214.8*OFFSET(J$113,MATCH($N$1,$C$113:$C$114,0)-1,0)</f>
        <v>2214.8000000000002</v>
      </c>
      <c r="K28" s="83">
        <f ca="1">2303.8*OFFSET(K$113,MATCH($N$1,$C$113:$C$114,0)-1,0)</f>
        <v>2303.8000000000002</v>
      </c>
      <c r="L28" s="83">
        <f ca="1">1688.6*OFFSET(L$113,MATCH($N$1,$C$113:$C$114,0)-1,0)</f>
        <v>1688.6</v>
      </c>
      <c r="M28" s="83">
        <f ca="1">1349.2*OFFSET(M$113,MATCH($N$1,$C$113:$C$114,0)-1,0)</f>
        <v>1349.2</v>
      </c>
      <c r="N28" s="83">
        <v>1811.8</v>
      </c>
      <c r="O28" s="84">
        <f t="shared" ca="1" si="0"/>
        <v>0.5639188605955977</v>
      </c>
      <c r="P28" s="84">
        <f t="shared" ca="1" si="1"/>
        <v>-0.18195773884775157</v>
      </c>
    </row>
    <row r="29" spans="1:16" s="78" customFormat="1" ht="18" customHeight="1">
      <c r="A29" s="192"/>
      <c r="B29" s="85" t="s">
        <v>210</v>
      </c>
      <c r="C29" s="86"/>
      <c r="D29" s="86">
        <f ca="1">59.3*OFFSET(D$113,MATCH($N$1,$C$113:$C$114,0)-1,0)</f>
        <v>59.3</v>
      </c>
      <c r="E29" s="86">
        <f ca="1">261*OFFSET(E$113,MATCH($N$1,$C$113:$C$114,0)-1,0)</f>
        <v>261</v>
      </c>
      <c r="F29" s="86">
        <f ca="1">193.4*OFFSET(F$113,MATCH($N$1,$C$113:$C$114,0)-1,0)</f>
        <v>193.4</v>
      </c>
      <c r="G29" s="86">
        <f ca="1">48.9*OFFSET(G$113,MATCH($N$1,$C$113:$C$114,0)-1,0)</f>
        <v>48.9</v>
      </c>
      <c r="H29" s="86">
        <f ca="1">45.9*OFFSET(H$113,MATCH($N$1,$C$113:$C$114,0)-1,0)</f>
        <v>45.9</v>
      </c>
      <c r="I29" s="86">
        <f ca="1">90.8*OFFSET(I$113,MATCH($N$1,$C$113:$C$114,0)-1,0)</f>
        <v>90.8</v>
      </c>
      <c r="J29" s="86">
        <f ca="1">6.1*OFFSET(J$113,MATCH($N$1,$C$113:$C$114,0)-1,0)</f>
        <v>6.1</v>
      </c>
      <c r="K29" s="86">
        <f ca="1">7*OFFSET(K$113,MATCH($N$1,$C$113:$C$114,0)-1,0)</f>
        <v>7</v>
      </c>
      <c r="L29" s="86">
        <f ca="1">38*OFFSET(L$113,MATCH($N$1,$C$113:$C$114,0)-1,0)</f>
        <v>38</v>
      </c>
      <c r="M29" s="86">
        <f ca="1">42.3*OFFSET(M$113,MATCH($N$1,$C$113:$C$114,0)-1,0)</f>
        <v>42.3</v>
      </c>
      <c r="N29" s="86">
        <v>56.7</v>
      </c>
      <c r="O29" s="84">
        <f t="shared" ca="1" si="0"/>
        <v>-4.3844856661045435E-2</v>
      </c>
      <c r="P29" s="84">
        <f t="shared" ca="1" si="1"/>
        <v>8.2950819672131146</v>
      </c>
    </row>
    <row r="30" spans="1:16" s="78" customFormat="1" ht="18" customHeight="1">
      <c r="A30" s="192"/>
      <c r="B30" s="87" t="s">
        <v>211</v>
      </c>
      <c r="C30" s="88"/>
      <c r="D30" s="88">
        <f ca="1">1217.8*OFFSET(D$113,MATCH($N$1,$C$113:$C$114,0)-1,0)</f>
        <v>1217.8</v>
      </c>
      <c r="E30" s="88">
        <f ca="1">1647.4*OFFSET(E$113,MATCH($N$1,$C$113:$C$114,0)-1,0)</f>
        <v>1647.4</v>
      </c>
      <c r="F30" s="88">
        <f ca="1">1639.2*OFFSET(F$113,MATCH($N$1,$C$113:$C$114,0)-1,0)</f>
        <v>1639.2</v>
      </c>
      <c r="G30" s="88">
        <f ca="1">1670*OFFSET(G$113,MATCH($N$1,$C$113:$C$114,0)-1,0)</f>
        <v>1670</v>
      </c>
      <c r="H30" s="88">
        <f ca="1">2090.6*OFFSET(H$113,MATCH($N$1,$C$113:$C$114,0)-1,0)</f>
        <v>2090.6</v>
      </c>
      <c r="I30" s="88">
        <f ca="1">2381*OFFSET(I$113,MATCH($N$1,$C$113:$C$114,0)-1,0)</f>
        <v>2381</v>
      </c>
      <c r="J30" s="88">
        <f ca="1">2220.9*OFFSET(J$113,MATCH($N$1,$C$113:$C$114,0)-1,0)</f>
        <v>2220.9</v>
      </c>
      <c r="K30" s="88">
        <f ca="1">2310.8*OFFSET(K$113,MATCH($N$1,$C$113:$C$114,0)-1,0)</f>
        <v>2310.8000000000002</v>
      </c>
      <c r="L30" s="88">
        <f ca="1">1726.6*OFFSET(L$113,MATCH($N$1,$C$113:$C$114,0)-1,0)</f>
        <v>1726.6</v>
      </c>
      <c r="M30" s="88">
        <f ca="1">1391.4*OFFSET(M$113,MATCH($N$1,$C$113:$C$114,0)-1,0)</f>
        <v>1391.4</v>
      </c>
      <c r="N30" s="88">
        <v>1868.5</v>
      </c>
      <c r="O30" s="84">
        <f t="shared" ca="1" si="0"/>
        <v>0.53432419116439489</v>
      </c>
      <c r="P30" s="84">
        <f t="shared" ca="1" si="1"/>
        <v>-0.15867441127470849</v>
      </c>
    </row>
    <row r="31" spans="1:16" s="78" customFormat="1" ht="18" customHeight="1">
      <c r="A31" s="192"/>
      <c r="B31" s="85" t="s">
        <v>212</v>
      </c>
      <c r="C31" s="86"/>
      <c r="D31" s="86">
        <f ca="1">163.9*OFFSET(D$113,MATCH($N$1,$C$113:$C$114,0)-1,0)</f>
        <v>163.9</v>
      </c>
      <c r="E31" s="86">
        <f ca="1">162.6*OFFSET(E$113,MATCH($N$1,$C$113:$C$114,0)-1,0)</f>
        <v>162.6</v>
      </c>
      <c r="F31" s="86">
        <f ca="1">137.9*OFFSET(F$113,MATCH($N$1,$C$113:$C$114,0)-1,0)</f>
        <v>137.9</v>
      </c>
      <c r="G31" s="86">
        <f ca="1">123.1*OFFSET(G$113,MATCH($N$1,$C$113:$C$114,0)-1,0)</f>
        <v>123.1</v>
      </c>
      <c r="H31" s="86">
        <f ca="1">122.8*OFFSET(H$113,MATCH($N$1,$C$113:$C$114,0)-1,0)</f>
        <v>122.8</v>
      </c>
      <c r="I31" s="86">
        <f ca="1">144.5*OFFSET(I$113,MATCH($N$1,$C$113:$C$114,0)-1,0)</f>
        <v>144.5</v>
      </c>
      <c r="J31" s="86">
        <f ca="1">194.3*OFFSET(J$113,MATCH($N$1,$C$113:$C$114,0)-1,0)</f>
        <v>194.3</v>
      </c>
      <c r="K31" s="86">
        <f ca="1">193.7*OFFSET(K$113,MATCH($N$1,$C$113:$C$114,0)-1,0)</f>
        <v>193.7</v>
      </c>
      <c r="L31" s="86">
        <f ca="1">119*OFFSET(L$113,MATCH($N$1,$C$113:$C$114,0)-1,0)</f>
        <v>119</v>
      </c>
      <c r="M31" s="86">
        <f ca="1">122.4*OFFSET(M$113,MATCH($N$1,$C$113:$C$114,0)-1,0)</f>
        <v>122.4</v>
      </c>
      <c r="N31" s="86">
        <v>278.2</v>
      </c>
      <c r="O31" s="84">
        <f t="shared" ca="1" si="0"/>
        <v>0.6973764490543013</v>
      </c>
      <c r="P31" s="84">
        <f t="shared" ca="1" si="1"/>
        <v>0.43180648481729272</v>
      </c>
    </row>
    <row r="32" spans="1:16" s="78" customFormat="1" ht="18" customHeight="1">
      <c r="A32" s="192"/>
      <c r="B32" s="85" t="s">
        <v>213</v>
      </c>
      <c r="C32" s="86"/>
      <c r="D32" s="86">
        <f ca="1">292.4*OFFSET(D$113,MATCH($N$1,$C$113:$C$114,0)-1,0)</f>
        <v>292.39999999999998</v>
      </c>
      <c r="E32" s="86">
        <f ca="1">325.3*OFFSET(E$113,MATCH($N$1,$C$113:$C$114,0)-1,0)</f>
        <v>325.3</v>
      </c>
      <c r="F32" s="86">
        <f ca="1">319.8*OFFSET(F$113,MATCH($N$1,$C$113:$C$114,0)-1,0)</f>
        <v>319.8</v>
      </c>
      <c r="G32" s="86">
        <f ca="1">380.3*OFFSET(G$113,MATCH($N$1,$C$113:$C$114,0)-1,0)</f>
        <v>380.3</v>
      </c>
      <c r="H32" s="86">
        <f ca="1">547.6*OFFSET(H$113,MATCH($N$1,$C$113:$C$114,0)-1,0)</f>
        <v>547.6</v>
      </c>
      <c r="I32" s="86">
        <f ca="1">631.7*OFFSET(I$113,MATCH($N$1,$C$113:$C$114,0)-1,0)</f>
        <v>631.70000000000005</v>
      </c>
      <c r="J32" s="86">
        <f ca="1">626.4*OFFSET(J$113,MATCH($N$1,$C$113:$C$114,0)-1,0)</f>
        <v>626.4</v>
      </c>
      <c r="K32" s="86">
        <f ca="1">694.7*OFFSET(K$113,MATCH($N$1,$C$113:$C$114,0)-1,0)</f>
        <v>694.7</v>
      </c>
      <c r="L32" s="86">
        <f ca="1">500.8*OFFSET(L$113,MATCH($N$1,$C$113:$C$114,0)-1,0)</f>
        <v>500.8</v>
      </c>
      <c r="M32" s="86">
        <f ca="1">337.4*OFFSET(M$113,MATCH($N$1,$C$113:$C$114,0)-1,0)</f>
        <v>337.4</v>
      </c>
      <c r="N32" s="86">
        <v>401.8</v>
      </c>
      <c r="O32" s="84">
        <f t="shared" ca="1" si="0"/>
        <v>0.37414500683994545</v>
      </c>
      <c r="P32" s="84">
        <f t="shared" ca="1" si="1"/>
        <v>-0.35855683269476368</v>
      </c>
    </row>
    <row r="33" spans="1:16" s="78" customFormat="1" ht="18" customHeight="1">
      <c r="A33" s="192"/>
      <c r="B33" s="85" t="s">
        <v>214</v>
      </c>
      <c r="C33" s="86"/>
      <c r="D33" s="86">
        <f ca="1">410.1*OFFSET(D$113,MATCH($N$1,$C$113:$C$114,0)-1,0)</f>
        <v>410.1</v>
      </c>
      <c r="E33" s="86">
        <f ca="1">591.9*OFFSET(E$113,MATCH($N$1,$C$113:$C$114,0)-1,0)</f>
        <v>591.9</v>
      </c>
      <c r="F33" s="86">
        <f ca="1">526.3*OFFSET(F$113,MATCH($N$1,$C$113:$C$114,0)-1,0)</f>
        <v>526.29999999999995</v>
      </c>
      <c r="G33" s="86">
        <f ca="1">671.6*OFFSET(G$113,MATCH($N$1,$C$113:$C$114,0)-1,0)</f>
        <v>671.6</v>
      </c>
      <c r="H33" s="86">
        <f ca="1">714.5*OFFSET(H$113,MATCH($N$1,$C$113:$C$114,0)-1,0)</f>
        <v>714.5</v>
      </c>
      <c r="I33" s="86">
        <f ca="1">822.7*OFFSET(I$113,MATCH($N$1,$C$113:$C$114,0)-1,0)</f>
        <v>822.7</v>
      </c>
      <c r="J33" s="86">
        <f ca="1">808.4*OFFSET(J$113,MATCH($N$1,$C$113:$C$114,0)-1,0)</f>
        <v>808.4</v>
      </c>
      <c r="K33" s="86">
        <f ca="1">731*OFFSET(K$113,MATCH($N$1,$C$113:$C$114,0)-1,0)</f>
        <v>731</v>
      </c>
      <c r="L33" s="86">
        <f ca="1">548.5*OFFSET(L$113,MATCH($N$1,$C$113:$C$114,0)-1,0)</f>
        <v>548.5</v>
      </c>
      <c r="M33" s="86">
        <f ca="1">477.5*OFFSET(M$113,MATCH($N$1,$C$113:$C$114,0)-1,0)</f>
        <v>477.5</v>
      </c>
      <c r="N33" s="86">
        <v>641.20000000000005</v>
      </c>
      <c r="O33" s="84">
        <f t="shared" ca="1" si="0"/>
        <v>0.56352109241648385</v>
      </c>
      <c r="P33" s="84">
        <f t="shared" ca="1" si="1"/>
        <v>-0.20682830282038586</v>
      </c>
    </row>
    <row r="34" spans="1:16" s="78" customFormat="1" ht="18" customHeight="1">
      <c r="A34" s="192"/>
      <c r="B34" s="85" t="s">
        <v>215</v>
      </c>
      <c r="C34" s="86"/>
      <c r="D34" s="86">
        <f ca="1">866.4*OFFSET(D$113,MATCH($N$1,$C$113:$C$114,0)-1,0)</f>
        <v>866.4</v>
      </c>
      <c r="E34" s="86">
        <f ca="1">1079.8*OFFSET(E$113,MATCH($N$1,$C$113:$C$114,0)-1,0)</f>
        <v>1079.8</v>
      </c>
      <c r="F34" s="86">
        <f ca="1">983.9*OFFSET(F$113,MATCH($N$1,$C$113:$C$114,0)-1,0)</f>
        <v>983.9</v>
      </c>
      <c r="G34" s="86">
        <f ca="1">1175*OFFSET(G$113,MATCH($N$1,$C$113:$C$114,0)-1,0)</f>
        <v>1175</v>
      </c>
      <c r="H34" s="86">
        <f ca="1">1384.9*OFFSET(H$113,MATCH($N$1,$C$113:$C$114,0)-1,0)</f>
        <v>1384.9</v>
      </c>
      <c r="I34" s="86">
        <f ca="1">1598.8*OFFSET(I$113,MATCH($N$1,$C$113:$C$114,0)-1,0)</f>
        <v>1598.8</v>
      </c>
      <c r="J34" s="86">
        <f ca="1">1629.1*OFFSET(J$113,MATCH($N$1,$C$113:$C$114,0)-1,0)</f>
        <v>1629.1</v>
      </c>
      <c r="K34" s="86">
        <f ca="1">1619.4*OFFSET(K$113,MATCH($N$1,$C$113:$C$114,0)-1,0)</f>
        <v>1619.4</v>
      </c>
      <c r="L34" s="86">
        <f ca="1">1168.3*OFFSET(L$113,MATCH($N$1,$C$113:$C$114,0)-1,0)</f>
        <v>1168.3</v>
      </c>
      <c r="M34" s="86">
        <f ca="1">937.2*OFFSET(M$113,MATCH($N$1,$C$113:$C$114,0)-1,0)</f>
        <v>937.2</v>
      </c>
      <c r="N34" s="86">
        <v>1321.2</v>
      </c>
      <c r="O34" s="84">
        <f t="shared" ca="1" si="0"/>
        <v>0.52493074792243777</v>
      </c>
      <c r="P34" s="84">
        <f t="shared" ca="1" si="1"/>
        <v>-0.18900006138358597</v>
      </c>
    </row>
    <row r="35" spans="1:16" s="78" customFormat="1" ht="18" customHeight="1">
      <c r="A35" s="192"/>
      <c r="B35" s="85" t="s">
        <v>216</v>
      </c>
      <c r="C35" s="86"/>
      <c r="D35" s="86">
        <f ca="1">228.1*OFFSET(D$113,MATCH($N$1,$C$113:$C$114,0)-1,0)</f>
        <v>228.1</v>
      </c>
      <c r="E35" s="86">
        <f ca="1">257.5*OFFSET(E$113,MATCH($N$1,$C$113:$C$114,0)-1,0)</f>
        <v>257.5</v>
      </c>
      <c r="F35" s="86">
        <f ca="1">311.1*OFFSET(F$113,MATCH($N$1,$C$113:$C$114,0)-1,0)</f>
        <v>311.10000000000002</v>
      </c>
      <c r="G35" s="86">
        <f ca="1">346.7*OFFSET(G$113,MATCH($N$1,$C$113:$C$114,0)-1,0)</f>
        <v>346.7</v>
      </c>
      <c r="H35" s="86">
        <f ca="1">315.9*OFFSET(H$113,MATCH($N$1,$C$113:$C$114,0)-1,0)</f>
        <v>315.89999999999998</v>
      </c>
      <c r="I35" s="86">
        <f ca="1">377.5*OFFSET(I$113,MATCH($N$1,$C$113:$C$114,0)-1,0)</f>
        <v>377.5</v>
      </c>
      <c r="J35" s="86">
        <f ca="1">282.1*OFFSET(J$113,MATCH($N$1,$C$113:$C$114,0)-1,0)</f>
        <v>282.10000000000002</v>
      </c>
      <c r="K35" s="86">
        <f ca="1">401.1*OFFSET(K$113,MATCH($N$1,$C$113:$C$114,0)-1,0)</f>
        <v>401.1</v>
      </c>
      <c r="L35" s="86">
        <f ca="1">285.5*OFFSET(L$113,MATCH($N$1,$C$113:$C$114,0)-1,0)</f>
        <v>285.5</v>
      </c>
      <c r="M35" s="86">
        <f ca="1">277.9*OFFSET(M$113,MATCH($N$1,$C$113:$C$114,0)-1,0)</f>
        <v>277.89999999999998</v>
      </c>
      <c r="N35" s="86">
        <v>373.1</v>
      </c>
      <c r="O35" s="84">
        <f t="shared" ca="1" si="0"/>
        <v>0.63568610258658498</v>
      </c>
      <c r="P35" s="84">
        <f t="shared" ca="1" si="1"/>
        <v>0.32258064516129031</v>
      </c>
    </row>
    <row r="36" spans="1:16" s="78" customFormat="1" ht="18" customHeight="1">
      <c r="A36" s="192"/>
      <c r="B36" s="85" t="s">
        <v>217</v>
      </c>
      <c r="C36" s="86"/>
      <c r="D36" s="86">
        <f ca="1">1094.5*OFFSET(D$113,MATCH($N$1,$C$113:$C$114,0)-1,0)</f>
        <v>1094.5</v>
      </c>
      <c r="E36" s="86">
        <f ca="1">1337.3*OFFSET(E$113,MATCH($N$1,$C$113:$C$114,0)-1,0)</f>
        <v>1337.3</v>
      </c>
      <c r="F36" s="86">
        <f ca="1">1295.1*OFFSET(F$113,MATCH($N$1,$C$113:$C$114,0)-1,0)</f>
        <v>1295.0999999999999</v>
      </c>
      <c r="G36" s="86">
        <f ca="1">1521.7*OFFSET(G$113,MATCH($N$1,$C$113:$C$114,0)-1,0)</f>
        <v>1521.7</v>
      </c>
      <c r="H36" s="86">
        <f ca="1">1700.8*OFFSET(H$113,MATCH($N$1,$C$113:$C$114,0)-1,0)</f>
        <v>1700.8</v>
      </c>
      <c r="I36" s="86">
        <f ca="1">1976.3*OFFSET(I$113,MATCH($N$1,$C$113:$C$114,0)-1,0)</f>
        <v>1976.3</v>
      </c>
      <c r="J36" s="86">
        <f ca="1">1911.2*OFFSET(J$113,MATCH($N$1,$C$113:$C$114,0)-1,0)</f>
        <v>1911.2</v>
      </c>
      <c r="K36" s="86">
        <f ca="1">2020.5*OFFSET(K$113,MATCH($N$1,$C$113:$C$114,0)-1,0)</f>
        <v>2020.5</v>
      </c>
      <c r="L36" s="86">
        <f ca="1">1453.8*OFFSET(L$113,MATCH($N$1,$C$113:$C$114,0)-1,0)</f>
        <v>1453.8</v>
      </c>
      <c r="M36" s="86">
        <f ca="1">1215.1*OFFSET(M$113,MATCH($N$1,$C$113:$C$114,0)-1,0)</f>
        <v>1215.0999999999999</v>
      </c>
      <c r="N36" s="86">
        <v>1694.3</v>
      </c>
      <c r="O36" s="84">
        <f t="shared" ca="1" si="0"/>
        <v>0.54801279122887159</v>
      </c>
      <c r="P36" s="84">
        <f t="shared" ca="1" si="1"/>
        <v>-0.1134889074926748</v>
      </c>
    </row>
    <row r="37" spans="1:16" s="78" customFormat="1" ht="18" customHeight="1">
      <c r="A37" s="192"/>
      <c r="B37" s="87" t="s">
        <v>218</v>
      </c>
      <c r="C37" s="88"/>
      <c r="D37" s="88">
        <f ca="1">415.7*OFFSET(D$113,MATCH($N$1,$C$113:$C$114,0)-1,0)</f>
        <v>415.7</v>
      </c>
      <c r="E37" s="88">
        <f ca="1">635.4*OFFSET(E$113,MATCH($N$1,$C$113:$C$114,0)-1,0)</f>
        <v>635.4</v>
      </c>
      <c r="F37" s="88">
        <f ca="1">664*OFFSET(F$113,MATCH($N$1,$C$113:$C$114,0)-1,0)</f>
        <v>664</v>
      </c>
      <c r="G37" s="88">
        <f ca="1">528.6*OFFSET(G$113,MATCH($N$1,$C$113:$C$114,0)-1,0)</f>
        <v>528.6</v>
      </c>
      <c r="H37" s="88">
        <f ca="1">937.4*OFFSET(H$113,MATCH($N$1,$C$113:$C$114,0)-1,0)</f>
        <v>937.4</v>
      </c>
      <c r="I37" s="88">
        <f ca="1">1036.4*OFFSET(I$113,MATCH($N$1,$C$113:$C$114,0)-1,0)</f>
        <v>1036.4000000000001</v>
      </c>
      <c r="J37" s="88">
        <f ca="1">936.1*OFFSET(J$113,MATCH($N$1,$C$113:$C$114,0)-1,0)</f>
        <v>936.1</v>
      </c>
      <c r="K37" s="88">
        <f ca="1">985*OFFSET(K$113,MATCH($N$1,$C$113:$C$114,0)-1,0)</f>
        <v>985</v>
      </c>
      <c r="L37" s="88">
        <f ca="1">773.6*OFFSET(L$113,MATCH($N$1,$C$113:$C$114,0)-1,0)</f>
        <v>773.6</v>
      </c>
      <c r="M37" s="88">
        <f ca="1">513.7*OFFSET(M$113,MATCH($N$1,$C$113:$C$114,0)-1,0)</f>
        <v>513.70000000000005</v>
      </c>
      <c r="N37" s="88">
        <v>576</v>
      </c>
      <c r="O37" s="84">
        <f t="shared" ca="1" si="0"/>
        <v>0.38561462593216267</v>
      </c>
      <c r="P37" s="84">
        <f t="shared" ca="1" si="1"/>
        <v>-0.38468112381155861</v>
      </c>
    </row>
    <row r="38" spans="1:16" s="78" customFormat="1" ht="18" customHeight="1">
      <c r="A38" s="192"/>
      <c r="B38" s="87" t="s">
        <v>219</v>
      </c>
      <c r="C38" s="88"/>
      <c r="D38" s="88">
        <f ca="1">123.3*OFFSET(D$113,MATCH($N$1,$C$113:$C$114,0)-1,0)</f>
        <v>123.3</v>
      </c>
      <c r="E38" s="88">
        <f ca="1">310.1*OFFSET(E$113,MATCH($N$1,$C$113:$C$114,0)-1,0)</f>
        <v>310.10000000000002</v>
      </c>
      <c r="F38" s="88">
        <f ca="1">344.2*OFFSET(F$113,MATCH($N$1,$C$113:$C$114,0)-1,0)</f>
        <v>344.2</v>
      </c>
      <c r="G38" s="88">
        <f ca="1">148.3*OFFSET(G$113,MATCH($N$1,$C$113:$C$114,0)-1,0)</f>
        <v>148.30000000000001</v>
      </c>
      <c r="H38" s="88">
        <f ca="1">389.8*OFFSET(H$113,MATCH($N$1,$C$113:$C$114,0)-1,0)</f>
        <v>389.8</v>
      </c>
      <c r="I38" s="88">
        <f ca="1">404.7*OFFSET(I$113,MATCH($N$1,$C$113:$C$114,0)-1,0)</f>
        <v>404.7</v>
      </c>
      <c r="J38" s="88">
        <f ca="1">309.7*OFFSET(J$113,MATCH($N$1,$C$113:$C$114,0)-1,0)</f>
        <v>309.7</v>
      </c>
      <c r="K38" s="88">
        <f ca="1">290.3*OFFSET(K$113,MATCH($N$1,$C$113:$C$114,0)-1,0)</f>
        <v>290.3</v>
      </c>
      <c r="L38" s="88">
        <f ca="1">272.8*OFFSET(L$113,MATCH($N$1,$C$113:$C$114,0)-1,0)</f>
        <v>272.8</v>
      </c>
      <c r="M38" s="88">
        <f ca="1">176.3*OFFSET(M$113,MATCH($N$1,$C$113:$C$114,0)-1,0)</f>
        <v>176.3</v>
      </c>
      <c r="N38" s="88">
        <v>174.20000000000002</v>
      </c>
      <c r="O38" s="84">
        <f t="shared" ca="1" si="0"/>
        <v>0.41281427412814292</v>
      </c>
      <c r="P38" s="84">
        <f t="shared" ca="1" si="1"/>
        <v>-0.43752018082014843</v>
      </c>
    </row>
    <row r="39" spans="1:16" s="78" customFormat="1" ht="18" customHeight="1">
      <c r="A39" s="192"/>
      <c r="B39" s="85" t="s">
        <v>220</v>
      </c>
      <c r="C39" s="86"/>
      <c r="D39" s="86">
        <f ca="1">54.1*OFFSET(D$113,MATCH($N$1,$C$113:$C$114,0)-1,0)</f>
        <v>54.1</v>
      </c>
      <c r="E39" s="86">
        <f ca="1">71.7*OFFSET(E$113,MATCH($N$1,$C$113:$C$114,0)-1,0)</f>
        <v>71.7</v>
      </c>
      <c r="F39" s="86">
        <f ca="1">52.1*OFFSET(F$113,MATCH($N$1,$C$113:$C$114,0)-1,0)</f>
        <v>52.1</v>
      </c>
      <c r="G39" s="86">
        <f ca="1">101.5*OFFSET(G$113,MATCH($N$1,$C$113:$C$114,0)-1,0)</f>
        <v>101.5</v>
      </c>
      <c r="H39" s="86">
        <f ca="1">111.8*OFFSET(H$113,MATCH($N$1,$C$113:$C$114,0)-1,0)</f>
        <v>111.8</v>
      </c>
      <c r="I39" s="86">
        <f ca="1">97.8*OFFSET(I$113,MATCH($N$1,$C$113:$C$114,0)-1,0)</f>
        <v>97.8</v>
      </c>
      <c r="J39" s="86">
        <f ca="1">95.2*OFFSET(J$113,MATCH($N$1,$C$113:$C$114,0)-1,0)</f>
        <v>95.2</v>
      </c>
      <c r="K39" s="86">
        <f ca="1">92.8*OFFSET(K$113,MATCH($N$1,$C$113:$C$114,0)-1,0)</f>
        <v>92.8</v>
      </c>
      <c r="L39" s="86">
        <f ca="1">90.7*OFFSET(L$113,MATCH($N$1,$C$113:$C$114,0)-1,0)</f>
        <v>90.7</v>
      </c>
      <c r="M39" s="86">
        <f ca="1">28.6*OFFSET(M$113,MATCH($N$1,$C$113:$C$114,0)-1,0)</f>
        <v>28.6</v>
      </c>
      <c r="N39" s="86"/>
      <c r="O39" s="84" t="str">
        <f t="shared" si="0"/>
        <v/>
      </c>
      <c r="P39" s="84" t="str">
        <f t="shared" si="1"/>
        <v/>
      </c>
    </row>
    <row r="40" spans="1:16" s="78" customFormat="1" ht="18" customHeight="1">
      <c r="A40" s="192"/>
      <c r="B40" s="85" t="s">
        <v>221</v>
      </c>
      <c r="C40" s="86"/>
      <c r="D40" s="86">
        <f ca="1">18.3*OFFSET(D$113,MATCH($N$1,$C$113:$C$114,0)-1,0)</f>
        <v>18.3</v>
      </c>
      <c r="E40" s="86">
        <f ca="1">16.3*OFFSET(E$113,MATCH($N$1,$C$113:$C$114,0)-1,0)</f>
        <v>16.3</v>
      </c>
      <c r="F40" s="86">
        <f ca="1">2.8*OFFSET(F$113,MATCH($N$1,$C$113:$C$114,0)-1,0)</f>
        <v>2.8</v>
      </c>
      <c r="G40" s="86">
        <f ca="1">3.3*OFFSET(G$113,MATCH($N$1,$C$113:$C$114,0)-1,0)</f>
        <v>3.3</v>
      </c>
      <c r="H40" s="86">
        <f ca="1">3*OFFSET(H$113,MATCH($N$1,$C$113:$C$114,0)-1,0)</f>
        <v>3</v>
      </c>
      <c r="I40" s="86">
        <f ca="1">3.7*OFFSET(I$113,MATCH($N$1,$C$113:$C$114,0)-1,0)</f>
        <v>3.7</v>
      </c>
      <c r="J40" s="86">
        <f ca="1">3.7*OFFSET(J$113,MATCH($N$1,$C$113:$C$114,0)-1,0)</f>
        <v>3.7</v>
      </c>
      <c r="K40" s="86">
        <f ca="1">3.5*OFFSET(K$113,MATCH($N$1,$C$113:$C$114,0)-1,0)</f>
        <v>3.5</v>
      </c>
      <c r="L40" s="86">
        <f ca="1">5.9*OFFSET(L$113,MATCH($N$1,$C$113:$C$114,0)-1,0)</f>
        <v>5.9</v>
      </c>
      <c r="M40" s="86">
        <f ca="1">5*OFFSET(M$113,MATCH($N$1,$C$113:$C$114,0)-1,0)</f>
        <v>5</v>
      </c>
      <c r="N40" s="86"/>
      <c r="O40" s="84" t="str">
        <f t="shared" si="0"/>
        <v/>
      </c>
      <c r="P40" s="84" t="str">
        <f t="shared" si="1"/>
        <v/>
      </c>
    </row>
    <row r="41" spans="1:16" s="78" customFormat="1" ht="18" customHeight="1">
      <c r="A41" s="192"/>
      <c r="B41" s="85" t="s">
        <v>222</v>
      </c>
      <c r="C41" s="86"/>
      <c r="D41" s="86">
        <f ca="1">2.4*OFFSET(D$113,MATCH($N$1,$C$113:$C$114,0)-1,0)</f>
        <v>2.4</v>
      </c>
      <c r="E41" s="86">
        <f ca="1">8.4*OFFSET(E$113,MATCH($N$1,$C$113:$C$114,0)-1,0)</f>
        <v>8.4</v>
      </c>
      <c r="F41" s="86">
        <f ca="1">0.8*OFFSET(F$113,MATCH($N$1,$C$113:$C$114,0)-1,0)</f>
        <v>0.8</v>
      </c>
      <c r="G41" s="86">
        <f ca="1">1.3*OFFSET(G$113,MATCH($N$1,$C$113:$C$114,0)-1,0)</f>
        <v>1.3</v>
      </c>
      <c r="H41" s="86">
        <f ca="1">1.5*OFFSET(H$113,MATCH($N$1,$C$113:$C$114,0)-1,0)</f>
        <v>1.5</v>
      </c>
      <c r="I41" s="86">
        <f ca="1">0.6*OFFSET(I$113,MATCH($N$1,$C$113:$C$114,0)-1,0)</f>
        <v>0.6</v>
      </c>
      <c r="J41" s="86">
        <f ca="1">3.4*OFFSET(J$113,MATCH($N$1,$C$113:$C$114,0)-1,0)</f>
        <v>3.4</v>
      </c>
      <c r="K41" s="86">
        <f ca="1">3.5*OFFSET(K$113,MATCH($N$1,$C$113:$C$114,0)-1,0)</f>
        <v>3.5</v>
      </c>
      <c r="L41" s="86">
        <f ca="1">4.1*OFFSET(L$113,MATCH($N$1,$C$113:$C$114,0)-1,0)</f>
        <v>4.0999999999999996</v>
      </c>
      <c r="M41" s="86">
        <f ca="1">2.2*OFFSET(M$113,MATCH($N$1,$C$113:$C$114,0)-1,0)</f>
        <v>2.2000000000000002</v>
      </c>
      <c r="N41" s="86"/>
      <c r="O41" s="84" t="str">
        <f t="shared" si="0"/>
        <v/>
      </c>
      <c r="P41" s="84" t="str">
        <f t="shared" si="1"/>
        <v/>
      </c>
    </row>
    <row r="42" spans="1:16" s="78" customFormat="1" ht="18" customHeight="1" thickBot="1">
      <c r="A42" s="193"/>
      <c r="B42" s="89" t="s">
        <v>223</v>
      </c>
      <c r="C42" s="90"/>
      <c r="D42" s="90">
        <f ca="1">48.5*OFFSET(D$113,MATCH($N$1,$C$113:$C$114,0)-1,0)</f>
        <v>48.5</v>
      </c>
      <c r="E42" s="90">
        <f ca="1">213.7*OFFSET(E$113,MATCH($N$1,$C$113:$C$114,0)-1,0)</f>
        <v>213.7</v>
      </c>
      <c r="F42" s="90">
        <f ca="1">288.5*OFFSET(F$113,MATCH($N$1,$C$113:$C$114,0)-1,0)</f>
        <v>288.5</v>
      </c>
      <c r="G42" s="90">
        <f ca="1">42.2*OFFSET(G$113,MATCH($N$1,$C$113:$C$114,0)-1,0)</f>
        <v>42.2</v>
      </c>
      <c r="H42" s="90">
        <f ca="1">273.5*OFFSET(H$113,MATCH($N$1,$C$113:$C$114,0)-1,0)</f>
        <v>273.5</v>
      </c>
      <c r="I42" s="90">
        <f ca="1">302.6*OFFSET(I$113,MATCH($N$1,$C$113:$C$114,0)-1,0)</f>
        <v>302.60000000000002</v>
      </c>
      <c r="J42" s="90">
        <f ca="1">207.4*OFFSET(J$113,MATCH($N$1,$C$113:$C$114,0)-1,0)</f>
        <v>207.4</v>
      </c>
      <c r="K42" s="90">
        <f ca="1">190.6*OFFSET(K$113,MATCH($N$1,$C$113:$C$114,0)-1,0)</f>
        <v>190.6</v>
      </c>
      <c r="L42" s="90">
        <f ca="1">172*OFFSET(L$113,MATCH($N$1,$C$113:$C$114,0)-1,0)</f>
        <v>172</v>
      </c>
      <c r="M42" s="90">
        <f ca="1">140.5*OFFSET(M$113,MATCH($N$1,$C$113:$C$114,0)-1,0)</f>
        <v>140.5</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158</v>
      </c>
      <c r="G47" s="99" t="s">
        <v>158</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NSWOS demersal pair trawl seine</v>
      </c>
      <c r="C49" s="101"/>
      <c r="D49" s="101"/>
      <c r="E49" s="101"/>
      <c r="F49" s="101"/>
      <c r="G49" s="101"/>
      <c r="K49" s="101" t="str">
        <f>$B25&amp;CHAR(10)&amp;$A$1</f>
        <v>Operating profit per kW day at sea (£)
NSWOS demersal pair trawl seine</v>
      </c>
    </row>
    <row r="50" spans="1:11" s="78" customFormat="1">
      <c r="A50" s="101" t="str">
        <f>$B23&amp;CHAR(10)&amp;$A$1</f>
        <v>Fishing income per kW day at sea (£)
NSWOS demersal pair trawl seine</v>
      </c>
    </row>
    <row r="51" spans="1:11" s="78" customFormat="1">
      <c r="A51" s="101" t="str">
        <f>$B21&amp;CHAR(10)&amp;$A$1</f>
        <v>Average price per tonne landed (£)
NSWOS demersal pair trawl seine</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NSWOS demersal pair trawl seine</v>
      </c>
      <c r="F63" s="101" t="str">
        <f>$B21&amp;CHAR(10)&amp;$A$1</f>
        <v>Average price per tonne landed (£)
NSWOS demersal pair trawl seine</v>
      </c>
      <c r="K63" s="101" t="str">
        <f>"Average annual operating profit per vessel (£'000)"&amp;CHAR(10)&amp;$A$1</f>
        <v>Average annual operating profit per vessel (£'000)
NSWOS demersal pair trawl seine</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NSWOS demersal pair trawl seine</v>
      </c>
      <c r="F77" s="101" t="str">
        <f>"Top 5 landed species by value in "&amp;A78&amp;CHAR(10)&amp;A1</f>
        <v>Top 5 landed species by value in 2021
NSWOS demersal pair trawl seine</v>
      </c>
    </row>
    <row r="78" spans="1:11" s="101" customFormat="1">
      <c r="A78" s="101">
        <v>2021</v>
      </c>
      <c r="B78" s="101" t="s">
        <v>462</v>
      </c>
      <c r="C78" s="102">
        <v>0.39788641744001013</v>
      </c>
      <c r="D78" s="103">
        <v>12153634</v>
      </c>
      <c r="G78" s="101" t="s">
        <v>463</v>
      </c>
      <c r="H78" s="102">
        <v>0.2941453340944416</v>
      </c>
      <c r="I78" s="103">
        <v>12153634</v>
      </c>
      <c r="K78" s="101" t="s">
        <v>237</v>
      </c>
    </row>
    <row r="79" spans="1:11" s="101" customFormat="1">
      <c r="B79" s="101" t="s">
        <v>464</v>
      </c>
      <c r="C79" s="102">
        <v>0.20038640809024535</v>
      </c>
      <c r="D79" s="103">
        <v>3050596</v>
      </c>
      <c r="G79" s="101" t="s">
        <v>465</v>
      </c>
      <c r="H79" s="102">
        <v>0.25949922877569315</v>
      </c>
      <c r="I79" s="103">
        <v>553960</v>
      </c>
    </row>
    <row r="80" spans="1:11" s="101" customFormat="1">
      <c r="B80" s="101" t="s">
        <v>466</v>
      </c>
      <c r="C80" s="102">
        <v>0.15798733475806903</v>
      </c>
      <c r="D80" s="103">
        <v>1692097</v>
      </c>
      <c r="G80" s="101" t="s">
        <v>467</v>
      </c>
      <c r="H80" s="102">
        <v>0.17405648526752762</v>
      </c>
      <c r="I80" s="103">
        <v>3050596</v>
      </c>
    </row>
    <row r="81" spans="1:19" s="101" customFormat="1">
      <c r="B81" s="101" t="s">
        <v>468</v>
      </c>
      <c r="C81" s="102">
        <v>0.12478578930764941</v>
      </c>
      <c r="D81" s="103">
        <v>553960</v>
      </c>
      <c r="G81" s="101" t="s">
        <v>469</v>
      </c>
      <c r="H81" s="102">
        <v>9.9564517258761503E-2</v>
      </c>
      <c r="I81" s="103">
        <v>1692097</v>
      </c>
    </row>
    <row r="82" spans="1:19" s="101" customFormat="1">
      <c r="B82" s="101" t="s">
        <v>470</v>
      </c>
      <c r="C82" s="102">
        <v>5.1075241271944023E-2</v>
      </c>
      <c r="D82" s="103">
        <v>3689192</v>
      </c>
      <c r="G82" s="101" t="s">
        <v>471</v>
      </c>
      <c r="H82" s="102">
        <v>8.3510076605944381E-2</v>
      </c>
      <c r="I82" s="103">
        <v>3689192</v>
      </c>
    </row>
    <row r="83" spans="1:19" s="101" customFormat="1">
      <c r="B83" s="101" t="s">
        <v>472</v>
      </c>
      <c r="C83" s="102">
        <v>6.7878809132081996E-2</v>
      </c>
      <c r="D83" s="103">
        <v>5920853</v>
      </c>
      <c r="G83" s="101" t="s">
        <v>473</v>
      </c>
      <c r="H83" s="102">
        <v>8.9224357997631842E-2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156</v>
      </c>
      <c r="D93" s="107">
        <v>0.43569989956170779</v>
      </c>
      <c r="E93" s="107">
        <v>0.45572136728729962</v>
      </c>
      <c r="F93" s="107">
        <v>0.39313096614794296</v>
      </c>
      <c r="G93" s="107">
        <v>0.3152413683490391</v>
      </c>
      <c r="H93" s="107">
        <v>0.31166557444457293</v>
      </c>
      <c r="I93" s="107">
        <v>0.26997341836128275</v>
      </c>
      <c r="J93" s="107">
        <v>0.28056569032451667</v>
      </c>
      <c r="K93" s="107">
        <v>0.32534921267711864</v>
      </c>
      <c r="L93" s="107">
        <v>0.2941453340944416</v>
      </c>
      <c r="M93" s="107">
        <v>0.27302928482815608</v>
      </c>
      <c r="O93" s="101">
        <v>12153634</v>
      </c>
    </row>
    <row r="94" spans="1:19" s="101" customFormat="1" hidden="1">
      <c r="B94" s="101">
        <v>2</v>
      </c>
      <c r="C94" s="101" t="s">
        <v>168</v>
      </c>
      <c r="D94" s="107">
        <v>0.24821049059428049</v>
      </c>
      <c r="E94" s="107">
        <v>0.25206868056234105</v>
      </c>
      <c r="F94" s="107">
        <v>0.27458945988326627</v>
      </c>
      <c r="G94" s="107">
        <v>0.30302587479758319</v>
      </c>
      <c r="H94" s="107">
        <v>0.30152815326700477</v>
      </c>
      <c r="I94" s="107">
        <v>0.29539099634776611</v>
      </c>
      <c r="J94" s="107">
        <v>0.25100644174834608</v>
      </c>
      <c r="K94" s="107">
        <v>0.22834972508025625</v>
      </c>
      <c r="L94" s="107">
        <v>0.25949922877569315</v>
      </c>
      <c r="M94" s="107">
        <v>0.2597945172761158</v>
      </c>
      <c r="O94" s="101">
        <v>553960</v>
      </c>
    </row>
    <row r="95" spans="1:19" s="101" customFormat="1" hidden="1">
      <c r="B95" s="101">
        <v>3</v>
      </c>
      <c r="C95" s="101" t="s">
        <v>172</v>
      </c>
      <c r="D95" s="107">
        <v>0.10149966814764605</v>
      </c>
      <c r="E95" s="107">
        <v>8.3691051558998947E-2</v>
      </c>
      <c r="F95" s="107">
        <v>8.2947646164777192E-2</v>
      </c>
      <c r="G95" s="107">
        <v>7.144542290425196E-2</v>
      </c>
      <c r="H95" s="107">
        <v>7.4548340101231167E-2</v>
      </c>
      <c r="I95" s="107">
        <v>8.7831940893330671E-2</v>
      </c>
      <c r="J95" s="107">
        <v>0.1104232485459099</v>
      </c>
      <c r="K95" s="107">
        <v>0.12140398689764563</v>
      </c>
      <c r="L95" s="107">
        <v>0.17405648526752762</v>
      </c>
      <c r="M95" s="107">
        <v>0.12987776478968421</v>
      </c>
      <c r="O95" s="101">
        <v>3050596</v>
      </c>
    </row>
    <row r="96" spans="1:19" s="101" customFormat="1" hidden="1">
      <c r="B96" s="101">
        <v>4</v>
      </c>
      <c r="C96" s="101" t="s">
        <v>435</v>
      </c>
      <c r="D96" s="107">
        <v>7.9000062001669855E-2</v>
      </c>
      <c r="E96" s="107">
        <v>7.4743093822931927E-2</v>
      </c>
      <c r="F96" s="107">
        <v>7.8761213691446952E-2</v>
      </c>
      <c r="G96" s="107">
        <v>7.8725459483241153E-2</v>
      </c>
      <c r="H96" s="107">
        <v>5.9847002434245039E-2</v>
      </c>
      <c r="I96" s="107">
        <v>8.3616553680395903E-2</v>
      </c>
      <c r="J96" s="107">
        <v>0.1078691922029922</v>
      </c>
      <c r="K96" s="107">
        <v>0.10652331388262802</v>
      </c>
      <c r="L96" s="107">
        <v>9.9564517258761503E-2</v>
      </c>
      <c r="M96" s="107">
        <v>0.11681344924002593</v>
      </c>
      <c r="O96" s="101">
        <v>1692097</v>
      </c>
    </row>
    <row r="97" spans="1:15" s="101" customFormat="1" hidden="1">
      <c r="B97" s="101">
        <v>5</v>
      </c>
      <c r="C97" s="101" t="s">
        <v>165</v>
      </c>
      <c r="D97" s="107">
        <v>6.5939526086595812E-2</v>
      </c>
      <c r="E97" s="107">
        <v>7.5130450908800009E-2</v>
      </c>
      <c r="F97" s="107">
        <v>8.6951573196641152E-2</v>
      </c>
      <c r="G97" s="107">
        <v>0.11396019385942888</v>
      </c>
      <c r="H97" s="107">
        <v>0.13805059934020572</v>
      </c>
      <c r="I97" s="107">
        <v>0.13665158339448044</v>
      </c>
      <c r="J97" s="107">
        <v>0.13978991082757575</v>
      </c>
      <c r="K97" s="107">
        <v>0.11178168083321462</v>
      </c>
      <c r="L97" s="107">
        <v>8.3510076605944381E-2</v>
      </c>
      <c r="M97" s="107">
        <v>0.10093267401809712</v>
      </c>
      <c r="O97" s="101">
        <v>3689192</v>
      </c>
    </row>
    <row r="98" spans="1:15" s="101" customFormat="1" hidden="1">
      <c r="B98" s="101">
        <v>6</v>
      </c>
      <c r="C98" s="101" t="s">
        <v>251</v>
      </c>
      <c r="D98" s="107">
        <v>6.9650353608100027E-2</v>
      </c>
      <c r="E98" s="107">
        <v>5.8645355859628427E-2</v>
      </c>
      <c r="F98" s="107">
        <v>8.3619140915925441E-2</v>
      </c>
      <c r="G98" s="107">
        <v>0.11760168060645569</v>
      </c>
      <c r="H98" s="107">
        <v>0.11436033041274034</v>
      </c>
      <c r="I98" s="107">
        <v>0.1265355073227441</v>
      </c>
      <c r="J98" s="107">
        <v>0.11034551635065941</v>
      </c>
      <c r="K98" s="107">
        <v>0.10659208062913682</v>
      </c>
      <c r="L98" s="107">
        <v>8.9224357997631717E-2</v>
      </c>
      <c r="M98" s="107">
        <v>0.11955230984792088</v>
      </c>
      <c r="O98" s="101">
        <v>5920853</v>
      </c>
    </row>
    <row r="99" spans="1:15" s="101" customFormat="1" hidden="1">
      <c r="B99" s="101">
        <v>7</v>
      </c>
      <c r="D99" s="107"/>
      <c r="E99" s="107"/>
      <c r="F99" s="107"/>
      <c r="G99" s="107"/>
      <c r="H99" s="107"/>
      <c r="I99" s="107"/>
      <c r="J99" s="107"/>
      <c r="K99" s="107"/>
      <c r="L99" s="107"/>
      <c r="M99" s="107"/>
      <c r="O99" s="101">
        <v>2480382</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7</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7</v>
      </c>
      <c r="D121" s="52">
        <v>12</v>
      </c>
      <c r="E121" s="52">
        <v>7</v>
      </c>
      <c r="F121" s="53">
        <v>26</v>
      </c>
    </row>
    <row r="122" spans="1:15" ht="18" customHeight="1">
      <c r="A122" s="186" t="s">
        <v>198</v>
      </c>
      <c r="B122" s="35" t="s">
        <v>199</v>
      </c>
      <c r="C122" s="54">
        <v>26.637142181396484</v>
      </c>
      <c r="D122" s="54">
        <v>25.755832672119141</v>
      </c>
      <c r="E122" s="54">
        <v>26.318571090698242</v>
      </c>
      <c r="F122" s="55">
        <v>26.144615173339844</v>
      </c>
    </row>
    <row r="123" spans="1:15" ht="18" customHeight="1">
      <c r="A123" s="187"/>
      <c r="B123" s="37" t="s">
        <v>190</v>
      </c>
      <c r="C123" s="56">
        <v>507.71429443359375</v>
      </c>
      <c r="D123" s="56">
        <v>547.41665649414063</v>
      </c>
      <c r="E123" s="56">
        <v>565.5714111328125</v>
      </c>
      <c r="F123" s="57">
        <v>541.6153564453125</v>
      </c>
    </row>
    <row r="124" spans="1:15" ht="18" customHeight="1">
      <c r="A124" s="187"/>
      <c r="B124" s="37" t="s">
        <v>191</v>
      </c>
      <c r="C124" s="56">
        <v>273.14285278320313</v>
      </c>
      <c r="D124" s="56">
        <v>226.16666412353516</v>
      </c>
      <c r="E124" s="56">
        <v>238.85714721679688</v>
      </c>
      <c r="F124" s="57">
        <v>242.23077392578125</v>
      </c>
    </row>
    <row r="125" spans="1:15" ht="18" customHeight="1">
      <c r="A125" s="187"/>
      <c r="B125" s="37" t="s">
        <v>192</v>
      </c>
      <c r="C125" s="56">
        <v>438.3037109375</v>
      </c>
      <c r="D125" s="56">
        <v>439.59761047363281</v>
      </c>
      <c r="E125" s="56">
        <v>451.96273803710938</v>
      </c>
      <c r="F125" s="57">
        <v>442.57830810546875</v>
      </c>
    </row>
    <row r="126" spans="1:15" ht="18" customHeight="1">
      <c r="A126" s="187"/>
      <c r="B126" s="37" t="s">
        <v>193</v>
      </c>
      <c r="C126" s="33">
        <v>1199.9886474609375</v>
      </c>
      <c r="D126" s="33">
        <v>715.08538818359375</v>
      </c>
      <c r="E126" s="33">
        <v>334.55706787109375</v>
      </c>
      <c r="F126" s="58">
        <v>743.18634033203125</v>
      </c>
    </row>
    <row r="127" spans="1:15" ht="18" customHeight="1">
      <c r="A127" s="187"/>
      <c r="B127" s="37" t="s">
        <v>200</v>
      </c>
      <c r="C127" s="33">
        <f ca="1">2542.3245*OFFSET($L$113,MATCH($N$1,$C$113:$C$114,0)-1,0)</f>
        <v>2542.3245000000002</v>
      </c>
      <c r="D127" s="33">
        <f ca="1">1106.01484375*OFFSET($L$113,MATCH($N$1,$C$113:$C$114,0)-1,0)</f>
        <v>1106.01484375</v>
      </c>
      <c r="E127" s="33">
        <f ca="1">572.8511875*OFFSET($L$113,MATCH($N$1,$C$113:$C$114,0)-1,0)</f>
        <v>572.85118750000004</v>
      </c>
      <c r="F127" s="58">
        <f ca="1">1349.1695*OFFSET($L$113,MATCH($N$1,$C$113:$C$114,0)-1,0)</f>
        <v>1349.1695</v>
      </c>
    </row>
    <row r="128" spans="1:15" ht="18" customHeight="1">
      <c r="A128" s="187"/>
      <c r="B128" s="37" t="s">
        <v>195</v>
      </c>
      <c r="C128" s="56">
        <v>235.14285278320313</v>
      </c>
      <c r="D128" s="56">
        <v>154</v>
      </c>
      <c r="E128" s="56">
        <v>102.71428680419922</v>
      </c>
      <c r="F128" s="57">
        <v>162.03846740722656</v>
      </c>
    </row>
    <row r="129" spans="1:15" ht="18" customHeight="1">
      <c r="A129" s="187"/>
      <c r="B129" s="37" t="s">
        <v>201</v>
      </c>
      <c r="C129" s="56">
        <v>10.428571701049805</v>
      </c>
      <c r="D129" s="56">
        <v>32.916666984558105</v>
      </c>
      <c r="E129" s="56">
        <v>24.285715103149414</v>
      </c>
      <c r="F129" s="57">
        <v>24.538461685180664</v>
      </c>
    </row>
    <row r="130" spans="1:15" ht="18" customHeight="1">
      <c r="A130" s="187"/>
      <c r="B130" s="37" t="s">
        <v>202</v>
      </c>
      <c r="C130" s="59">
        <v>5.1032323837280273</v>
      </c>
      <c r="D130" s="59">
        <v>4.6434116115817776</v>
      </c>
      <c r="E130" s="59">
        <v>3.2571618556976318</v>
      </c>
      <c r="F130" s="60">
        <v>4.5864810943603516</v>
      </c>
    </row>
    <row r="131" spans="1:15" ht="18" customHeight="1">
      <c r="A131" s="188"/>
      <c r="B131" s="39" t="s">
        <v>203</v>
      </c>
      <c r="C131" s="40">
        <f ca="1">2118.62379313281*OFFSET($L$113,MATCH($N$1,$C$113:$C$114,0)-1,0)</f>
        <v>2118.6237931328101</v>
      </c>
      <c r="D131" s="40">
        <f ca="1">1546.68919548114*OFFSET($L$113,MATCH($N$1,$C$113:$C$114,0)-1,0)</f>
        <v>1546.6891954811399</v>
      </c>
      <c r="E131" s="40">
        <f ca="1">1712.26747994074*OFFSET($L$113,MATCH($N$1,$C$113:$C$114,0)-1,0)</f>
        <v>1712.26747994074</v>
      </c>
      <c r="F131" s="61">
        <f ca="1">1815*OFFSET($L$113,MATCH($N$1,$C$113:$C$114,0)-1,0)</f>
        <v>1815</v>
      </c>
    </row>
    <row r="132" spans="1:15" ht="18" customHeight="1">
      <c r="A132" s="198" t="s">
        <v>204</v>
      </c>
      <c r="B132" s="35" t="s">
        <v>205</v>
      </c>
      <c r="C132" s="62">
        <v>9.872363584786827</v>
      </c>
      <c r="D132" s="62">
        <v>8.1459649615373397</v>
      </c>
      <c r="E132" s="62">
        <v>5.7520318354153961</v>
      </c>
      <c r="F132" s="63">
        <v>8.3597903337356758</v>
      </c>
    </row>
    <row r="133" spans="1:15" ht="18" customHeight="1">
      <c r="A133" s="199"/>
      <c r="B133" s="37" t="s">
        <v>206</v>
      </c>
      <c r="C133" s="59">
        <f ca="1">20.9158243851873*OFFSET($L$113,MATCH($N$1,$C$113:$C$114,0)-1,0)</f>
        <v>20.9158243851873</v>
      </c>
      <c r="D133" s="59">
        <f ca="1">12.5992759927777*OFFSET($L$113,MATCH($N$1,$C$113:$C$114,0)-1,0)</f>
        <v>12.5992759927777</v>
      </c>
      <c r="E133" s="59">
        <f ca="1">9.84901705536562*OFFSET($L$113,MATCH($N$1,$C$113:$C$114,0)-1,0)</f>
        <v>9.8490170553656196</v>
      </c>
      <c r="F133" s="60">
        <f ca="1">15.1762398372823*OFFSET($L$113,MATCH($N$1,$C$113:$C$114,0)-1,0)</f>
        <v>15.176239837282299</v>
      </c>
    </row>
    <row r="134" spans="1:15" ht="18" customHeight="1">
      <c r="A134" s="199"/>
      <c r="B134" s="37" t="s">
        <v>153</v>
      </c>
      <c r="C134" s="59">
        <f ca="1">17.7097421804003*OFFSET($L$113,MATCH($N$1,$C$113:$C$114,0)-1,0)</f>
        <v>17.709742180400301</v>
      </c>
      <c r="D134" s="59">
        <f ca="1">11.0958168629819*OFFSET($L$113,MATCH($N$1,$C$113:$C$114,0)-1,0)</f>
        <v>11.0958168629819</v>
      </c>
      <c r="E134" s="59">
        <f ca="1">9.18021939984289*OFFSET($L$113,MATCH($N$1,$C$113:$C$114,0)-1,0)</f>
        <v>9.1802193998428905</v>
      </c>
      <c r="F134" s="60">
        <f ca="1">13.1930487296356*OFFSET($L$113,MATCH($N$1,$C$113:$C$114,0)-1,0)</f>
        <v>13.193048729635599</v>
      </c>
    </row>
    <row r="135" spans="1:15" ht="18" customHeight="1">
      <c r="A135" s="200"/>
      <c r="B135" s="39" t="s">
        <v>154</v>
      </c>
      <c r="C135" s="64">
        <f ca="1">3.20608220478702*OFFSET($L$113,MATCH($N$1,$C$113:$C$114,0)-1,0)</f>
        <v>3.2060822047870201</v>
      </c>
      <c r="D135" s="64">
        <f ca="1">1.50345912979586*OFFSET($L$113,MATCH($N$1,$C$113:$C$114,0)-1,0)</f>
        <v>1.5034591297958599</v>
      </c>
      <c r="E135" s="64">
        <f ca="1">0.66879765552273*OFFSET($L$113,MATCH($N$1,$C$113:$C$114,0)-1,0)</f>
        <v>0.66879765552272996</v>
      </c>
      <c r="F135" s="65">
        <f ca="1">1.98319110764671*OFFSET($L$113,MATCH($N$1,$C$113:$C$114,0)-1,0)</f>
        <v>1.9831911076467099</v>
      </c>
    </row>
    <row r="136" spans="1:15" ht="18" customHeight="1">
      <c r="A136" s="201" t="s">
        <v>260</v>
      </c>
      <c r="B136" s="37" t="s">
        <v>261</v>
      </c>
      <c r="C136" s="66">
        <f ca="1">173.09475*OFFSET($L$113,MATCH($N$1,$C$113:$C$114,0)-1,0)</f>
        <v>173.09475</v>
      </c>
      <c r="D136" s="66">
        <f ca="1">112.85908203125*OFFSET($L$113,MATCH($N$1,$C$113:$C$114,0)-1,0)</f>
        <v>112.85908203125</v>
      </c>
      <c r="E136" s="66">
        <f ca="1">87.9127265625*OFFSET($L$113,MATCH($N$1,$C$113:$C$114,0)-1,0)</f>
        <v>87.912726562499998</v>
      </c>
      <c r="F136" s="67">
        <f ca="1">122.3600546875*OFFSET($L$113,MATCH($N$1,$C$113:$C$114,0)-1,0)</f>
        <v>122.3600546875</v>
      </c>
    </row>
    <row r="137" spans="1:15" ht="18" customHeight="1">
      <c r="A137" s="202"/>
      <c r="B137" s="37" t="s">
        <v>262</v>
      </c>
      <c r="C137" s="31">
        <v>360985.69883869216</v>
      </c>
      <c r="D137" s="31">
        <v>239095.83566966001</v>
      </c>
      <c r="E137" s="31">
        <v>179750.00190734863</v>
      </c>
      <c r="F137" s="68">
        <v>255934.61538461538</v>
      </c>
    </row>
    <row r="138" spans="1:15" ht="18" customHeight="1">
      <c r="A138" s="202"/>
      <c r="B138" s="37" t="s">
        <v>263</v>
      </c>
      <c r="C138" s="31">
        <v>1535.1761474609375</v>
      </c>
      <c r="D138" s="31">
        <v>1552.5703614912989</v>
      </c>
      <c r="E138" s="31">
        <v>1750</v>
      </c>
      <c r="F138" s="68">
        <v>1579.46826171875</v>
      </c>
    </row>
    <row r="139" spans="1:15" ht="18" customHeight="1">
      <c r="A139" s="202"/>
      <c r="B139" s="37" t="s">
        <v>264</v>
      </c>
      <c r="C139" s="31">
        <f ca="1">736.125924948226*OFFSET($L$113,MATCH($N$1,$C$113:$C$114,0)-1,0)</f>
        <v>736.12592494822604</v>
      </c>
      <c r="D139" s="31">
        <f ca="1">732.851182021104*OFFSET($L$113,MATCH($N$1,$C$113:$C$114,0)-1,0)</f>
        <v>732.85118202110402</v>
      </c>
      <c r="E139" s="31">
        <f ca="1">855.895798897821*OFFSET($L$113,MATCH($N$1,$C$113:$C$114,0)-1,0)</f>
        <v>855.89579889782101</v>
      </c>
      <c r="F139" s="68">
        <f ca="1">755.129671647604*OFFSET($L$113,MATCH($N$1,$C$113:$C$114,0)-1,0)</f>
        <v>755.12967164760403</v>
      </c>
      <c r="I139" s="43"/>
      <c r="L139" s="69" t="str">
        <f>C120</f>
        <v>Most
profitable
quartile</v>
      </c>
      <c r="M139" s="69" t="str">
        <f>D120</f>
        <v>Middle
two quartiles</v>
      </c>
      <c r="N139" s="69" t="str">
        <f>E120</f>
        <v>Least
profitable
quartile</v>
      </c>
      <c r="O139" s="69"/>
    </row>
    <row r="140" spans="1:15" ht="18" customHeight="1">
      <c r="A140" s="202"/>
      <c r="B140" s="37" t="s">
        <v>265</v>
      </c>
      <c r="C140" s="31">
        <f ca="1">144.24698964132*OFFSET($L$113,MATCH($N$1,$C$113:$C$114,0)-1,0)</f>
        <v>144.24698964132</v>
      </c>
      <c r="D140" s="31">
        <f ca="1">157.826021753746*OFFSET($L$113,MATCH($N$1,$C$113:$C$114,0)-1,0)</f>
        <v>157.82602175374601</v>
      </c>
      <c r="E140" s="31">
        <f ca="1">262.773484720918*OFFSET($L$113,MATCH($N$1,$C$113:$C$114,0)-1,0)</f>
        <v>262.77348472091802</v>
      </c>
      <c r="F140" s="68">
        <f ca="1">164.64249683711*OFFSET($L$113,MATCH($N$1,$C$113:$C$114,0)-1,0)</f>
        <v>164.64249683711</v>
      </c>
      <c r="I140" s="43"/>
      <c r="K140" s="69" t="s">
        <v>266</v>
      </c>
      <c r="L140" s="70">
        <f t="shared" ref="L140:M142" ca="1" si="2">C141</f>
        <v>2621.9434999999999</v>
      </c>
      <c r="M140" s="70">
        <f t="shared" ca="1" si="2"/>
        <v>1140.6523749999999</v>
      </c>
      <c r="N140" s="70">
        <f ca="1">E141</f>
        <v>590.79137500000002</v>
      </c>
      <c r="O140" s="70"/>
    </row>
    <row r="141" spans="1:15" ht="18" customHeight="1">
      <c r="A141" s="179" t="s">
        <v>267</v>
      </c>
      <c r="B141" s="35" t="s">
        <v>268</v>
      </c>
      <c r="C141" s="71">
        <f ca="1">2621.9435*OFFSET($L$113,MATCH($N$1,$C$113:$C$114,0)-1,0)</f>
        <v>2621.9434999999999</v>
      </c>
      <c r="D141" s="71">
        <f ca="1">1140.652375*OFFSET($L$113,MATCH($N$1,$C$113:$C$114,0)-1,0)</f>
        <v>1140.6523749999999</v>
      </c>
      <c r="E141" s="71">
        <f ca="1">590.791375*OFFSET($L$113,MATCH($N$1,$C$113:$C$114,0)-1,0)</f>
        <v>590.79137500000002</v>
      </c>
      <c r="F141" s="72">
        <f ca="1">1391.422125*OFFSET($L$113,MATCH($N$1,$C$113:$C$114,0)-1,0)</f>
        <v>1391.4221250000001</v>
      </c>
      <c r="I141" s="43"/>
      <c r="K141" s="69" t="s">
        <v>269</v>
      </c>
      <c r="L141" s="70">
        <f t="shared" ca="1" si="2"/>
        <v>2232.24325</v>
      </c>
      <c r="M141" s="70">
        <f t="shared" ca="1" si="2"/>
        <v>1008.6727187499999</v>
      </c>
      <c r="N141" s="70">
        <f ca="1">E142</f>
        <v>551.89193750000004</v>
      </c>
      <c r="O141" s="70"/>
    </row>
    <row r="142" spans="1:15" ht="18" customHeight="1">
      <c r="A142" s="180"/>
      <c r="B142" s="37" t="s">
        <v>270</v>
      </c>
      <c r="C142" s="31">
        <f ca="1">2232.24325*OFFSET($L$113,MATCH($N$1,$C$113:$C$114,0)-1,0)</f>
        <v>2232.24325</v>
      </c>
      <c r="D142" s="31">
        <f ca="1">1008.67271875*OFFSET($L$113,MATCH($N$1,$C$113:$C$114,0)-1,0)</f>
        <v>1008.6727187499999</v>
      </c>
      <c r="E142" s="31">
        <f ca="1">551.8919375*OFFSET($L$113,MATCH($N$1,$C$113:$C$114,0)-1,0)</f>
        <v>551.89193750000004</v>
      </c>
      <c r="F142" s="68">
        <f ca="1">1215.116125*OFFSET($L$113,MATCH($N$1,$C$113:$C$114,0)-1,0)</f>
        <v>1215.116125</v>
      </c>
      <c r="I142" s="43"/>
      <c r="K142" s="69" t="s">
        <v>271</v>
      </c>
      <c r="L142" s="70">
        <f t="shared" ca="1" si="2"/>
        <v>389.70024999999998</v>
      </c>
      <c r="M142" s="70">
        <f t="shared" ca="1" si="2"/>
        <v>131.97965625000001</v>
      </c>
      <c r="N142" s="70">
        <f ca="1">E143</f>
        <v>38.899437499999998</v>
      </c>
      <c r="O142" s="70"/>
    </row>
    <row r="143" spans="1:15" ht="18" customHeight="1">
      <c r="A143" s="181"/>
      <c r="B143" s="39" t="s">
        <v>272</v>
      </c>
      <c r="C143" s="40">
        <f ca="1">389.70025*OFFSET($L$113,MATCH($N$1,$C$113:$C$114,0)-1,0)</f>
        <v>389.70024999999998</v>
      </c>
      <c r="D143" s="40">
        <f ca="1">131.97965625*OFFSET($L$113,MATCH($N$1,$C$113:$C$114,0)-1,0)</f>
        <v>131.97965625000001</v>
      </c>
      <c r="E143" s="40">
        <f ca="1">38.8994375*OFFSET($L$113,MATCH($N$1,$C$113:$C$114,0)-1,0)</f>
        <v>38.899437499999998</v>
      </c>
      <c r="F143" s="61">
        <f ca="1">176.305921875*OFFSET($L$113,MATCH($N$1,$C$113:$C$114,0)-1,0)</f>
        <v>176.305921875</v>
      </c>
      <c r="I143" s="43"/>
      <c r="K143" s="69" t="s">
        <v>273</v>
      </c>
      <c r="L143" s="73">
        <f ca="1">IFERROR(L141/L$140,"")</f>
        <v>0.85136969961404585</v>
      </c>
      <c r="M143" s="73">
        <f t="shared" ref="M143:N144" ca="1" si="3">IFERROR(M141/M$140,"")</f>
        <v>0.8842945851491345</v>
      </c>
      <c r="N143" s="73">
        <f t="shared" ca="1" si="3"/>
        <v>0.93415706602013282</v>
      </c>
      <c r="O143" s="73"/>
    </row>
    <row r="144" spans="1:15" ht="18" customHeight="1">
      <c r="I144" s="43"/>
      <c r="K144" s="69" t="s">
        <v>274</v>
      </c>
      <c r="L144" s="73">
        <f ca="1">IFERROR(L142/L$140,"")</f>
        <v>0.14863030038595415</v>
      </c>
      <c r="M144" s="73">
        <f t="shared" ca="1" si="3"/>
        <v>0.11570541485086551</v>
      </c>
      <c r="N144" s="73">
        <f t="shared" ca="1" si="3"/>
        <v>6.5842933979867249E-2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7</v>
      </c>
      <c r="B162" s="48"/>
      <c r="C162" s="74" t="s">
        <v>255</v>
      </c>
      <c r="D162" s="74" t="s">
        <v>276</v>
      </c>
      <c r="E162" s="74" t="s">
        <v>257</v>
      </c>
      <c r="F162" s="74" t="s">
        <v>277</v>
      </c>
      <c r="G162" s="75">
        <v>7</v>
      </c>
      <c r="H162" s="74"/>
      <c r="I162" s="74" t="s">
        <v>255</v>
      </c>
      <c r="J162" s="74" t="s">
        <v>276</v>
      </c>
      <c r="K162" s="74" t="s">
        <v>257</v>
      </c>
      <c r="L162" s="48" t="s">
        <v>277</v>
      </c>
      <c r="R162" s="21"/>
      <c r="S162" s="21"/>
    </row>
    <row r="163" spans="1:19" s="43" customFormat="1">
      <c r="A163" s="44">
        <v>1</v>
      </c>
      <c r="B163" s="48" t="s">
        <v>156</v>
      </c>
      <c r="C163" s="48">
        <v>0.24688296334635779</v>
      </c>
      <c r="D163" s="48">
        <v>0.54537801914329787</v>
      </c>
      <c r="E163" s="48">
        <v>0.43154219685960371</v>
      </c>
      <c r="F163" s="44">
        <v>12153634</v>
      </c>
      <c r="G163" s="44">
        <v>1</v>
      </c>
      <c r="H163" s="48" t="s">
        <v>156</v>
      </c>
      <c r="I163" s="48">
        <v>0.19964270474729592</v>
      </c>
      <c r="J163" s="48">
        <v>0.42378923530238605</v>
      </c>
      <c r="K163" s="48">
        <v>0.32231119440359751</v>
      </c>
      <c r="L163" s="44">
        <v>12153634</v>
      </c>
      <c r="R163" s="21"/>
      <c r="S163" s="21"/>
    </row>
    <row r="164" spans="1:19" s="43" customFormat="1">
      <c r="A164" s="44">
        <v>2</v>
      </c>
      <c r="B164" s="48" t="s">
        <v>172</v>
      </c>
      <c r="C164" s="48">
        <v>0.20910180225143954</v>
      </c>
      <c r="D164" s="48">
        <v>0.19667317762279679</v>
      </c>
      <c r="E164" s="48">
        <v>0.19443934637974566</v>
      </c>
      <c r="F164" s="44">
        <v>3050596</v>
      </c>
      <c r="G164" s="44">
        <v>2</v>
      </c>
      <c r="H164" s="48" t="s">
        <v>168</v>
      </c>
      <c r="I164" s="48">
        <v>0.29898226169657655</v>
      </c>
      <c r="J164" s="48">
        <v>0.21753056175487628</v>
      </c>
      <c r="K164" s="48">
        <v>0.24261309152072064</v>
      </c>
      <c r="L164" s="44">
        <v>553960</v>
      </c>
      <c r="N164" s="43" t="s">
        <v>278</v>
      </c>
      <c r="R164" s="21"/>
      <c r="S164" s="21"/>
    </row>
    <row r="165" spans="1:19" s="43" customFormat="1">
      <c r="A165" s="44">
        <v>3</v>
      </c>
      <c r="B165" s="48" t="s">
        <v>435</v>
      </c>
      <c r="C165" s="48">
        <v>0.20673472034416246</v>
      </c>
      <c r="D165" s="48">
        <v>0.11397031262450608</v>
      </c>
      <c r="E165" s="48">
        <v>0.15120880601558315</v>
      </c>
      <c r="F165" s="44">
        <v>1692097</v>
      </c>
      <c r="G165" s="44">
        <v>3</v>
      </c>
      <c r="H165" s="48" t="s">
        <v>172</v>
      </c>
      <c r="I165" s="48">
        <v>0.16409582637950376</v>
      </c>
      <c r="J165" s="48">
        <v>0.19426374535808028</v>
      </c>
      <c r="K165" s="48">
        <v>0.1687337695181822</v>
      </c>
      <c r="L165" s="44">
        <v>3050596</v>
      </c>
      <c r="N165" s="43" t="s">
        <v>279</v>
      </c>
      <c r="R165" s="21"/>
      <c r="S165" s="21"/>
    </row>
    <row r="166" spans="1:19" s="43" customFormat="1">
      <c r="A166" s="44">
        <v>4</v>
      </c>
      <c r="B166" s="48" t="s">
        <v>168</v>
      </c>
      <c r="C166" s="48">
        <v>0.16507286387439241</v>
      </c>
      <c r="D166" s="48">
        <v>9.0586030273840643E-2</v>
      </c>
      <c r="E166" s="48">
        <v>0.11098896316049547</v>
      </c>
      <c r="F166" s="44">
        <v>553960</v>
      </c>
      <c r="G166" s="44">
        <v>4</v>
      </c>
      <c r="H166" s="48" t="s">
        <v>435</v>
      </c>
      <c r="I166" s="48">
        <v>0.11513300007310601</v>
      </c>
      <c r="J166" s="48">
        <v>8.158450915536547E-2</v>
      </c>
      <c r="K166" s="48">
        <v>9.7269601848869569E-2</v>
      </c>
      <c r="L166" s="44">
        <v>1692097</v>
      </c>
      <c r="R166" s="21"/>
      <c r="S166" s="21"/>
    </row>
    <row r="167" spans="1:19" s="43" customFormat="1">
      <c r="A167" s="44">
        <v>5</v>
      </c>
      <c r="B167" s="48" t="s">
        <v>165</v>
      </c>
      <c r="C167" s="48">
        <v>8.739909776401121E-2</v>
      </c>
      <c r="D167" s="48">
        <v>1.9105379673717924E-2</v>
      </c>
      <c r="E167" s="48">
        <v>3.9067947009201014E-2</v>
      </c>
      <c r="F167" s="44">
        <v>3689192</v>
      </c>
      <c r="G167" s="44">
        <v>5</v>
      </c>
      <c r="H167" s="48" t="s">
        <v>165</v>
      </c>
      <c r="I167" s="48">
        <v>0.12315371912910084</v>
      </c>
      <c r="J167" s="48">
        <v>3.5412486630445647E-2</v>
      </c>
      <c r="K167" s="48">
        <v>6.9927890077329746E-2</v>
      </c>
      <c r="L167" s="44">
        <v>3689192</v>
      </c>
      <c r="R167" s="21"/>
      <c r="S167" s="21"/>
    </row>
    <row r="168" spans="1:19" s="43" customFormat="1">
      <c r="A168" s="44">
        <v>6</v>
      </c>
      <c r="B168" s="48" t="s">
        <v>251</v>
      </c>
      <c r="C168" s="48">
        <v>8.4808552419636585E-2</v>
      </c>
      <c r="D168" s="48">
        <v>3.4287080661840719E-2</v>
      </c>
      <c r="E168" s="48">
        <v>7.2752740575370956E-2</v>
      </c>
      <c r="F168" s="44">
        <v>5920853</v>
      </c>
      <c r="G168" s="44">
        <v>6</v>
      </c>
      <c r="H168" s="48" t="s">
        <v>251</v>
      </c>
      <c r="I168" s="48">
        <v>9.8992487974416954E-2</v>
      </c>
      <c r="J168" s="48">
        <v>4.7419461798846263E-2</v>
      </c>
      <c r="K168" s="48">
        <v>9.9144452631300339E-2</v>
      </c>
      <c r="L168" s="44">
        <v>5920853</v>
      </c>
      <c r="R168" s="21"/>
      <c r="S168" s="21"/>
    </row>
    <row r="169" spans="1:19" s="43" customFormat="1">
      <c r="A169" s="44">
        <v>7</v>
      </c>
      <c r="B169" s="48"/>
      <c r="C169" s="48">
        <v>0</v>
      </c>
      <c r="D169" s="48">
        <v>0</v>
      </c>
      <c r="E169" s="48">
        <v>0</v>
      </c>
      <c r="F169" s="44"/>
      <c r="G169" s="44">
        <v>7</v>
      </c>
      <c r="H169" s="48"/>
      <c r="I169" s="48">
        <v>0</v>
      </c>
      <c r="J169" s="48">
        <v>0</v>
      </c>
      <c r="K169" s="48">
        <v>0</v>
      </c>
      <c r="L169" s="44"/>
      <c r="R169" s="21"/>
      <c r="S169" s="21"/>
    </row>
    <row r="170" spans="1:19" s="43" customFormat="1">
      <c r="A170" s="44">
        <v>8</v>
      </c>
      <c r="B170" s="48"/>
      <c r="C170" s="48">
        <v>0</v>
      </c>
      <c r="D170" s="48">
        <v>0</v>
      </c>
      <c r="E170" s="48">
        <v>0</v>
      </c>
      <c r="F170" s="44"/>
      <c r="G170" s="44">
        <v>8</v>
      </c>
      <c r="H170" s="48"/>
      <c r="I170" s="48">
        <v>0</v>
      </c>
      <c r="J170" s="48">
        <v>0</v>
      </c>
      <c r="K170" s="48">
        <v>0</v>
      </c>
      <c r="L170" s="44"/>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F8AF7858-17D1-47B6-A321-720EC93441F2}">
      <formula1>$C$113:$C$114</formula1>
    </dataValidation>
  </dataValidations>
  <hyperlinks>
    <hyperlink ref="O1:P1" location="Home_page" display="Back to home page" xr:uid="{3CB54748-E291-4AFC-8DBA-A3216B04A97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B703DE37-AF1D-4967-B80F-BFFD41DFC93B}">
          <x14:colorSeries rgb="FF323232"/>
          <x14:colorNegative rgb="FFD00000"/>
          <x14:colorAxis rgb="FF000000"/>
          <x14:colorMarkers rgb="FFD00000"/>
          <x14:colorFirst rgb="FFD00000"/>
          <x14:colorLast rgb="FFD00000"/>
          <x14:colorHigh rgb="FFD00000"/>
          <x14:colorLow rgb="FFD00000"/>
          <x14:sparklines>
            <x14:sparkline>
              <xm:f>'NSWOS dem pair trawl seine'!D3:N3</xm:f>
              <xm:sqref>C3</xm:sqref>
            </x14:sparkline>
            <x14:sparkline>
              <xm:f>'NSWOS dem pair trawl seine'!D4:N4</xm:f>
              <xm:sqref>C4</xm:sqref>
            </x14:sparkline>
            <x14:sparkline>
              <xm:f>'NSWOS dem pair trawl seine'!D5:N5</xm:f>
              <xm:sqref>C5</xm:sqref>
            </x14:sparkline>
            <x14:sparkline>
              <xm:f>'NSWOS dem pair trawl seine'!D6:N6</xm:f>
              <xm:sqref>C6</xm:sqref>
            </x14:sparkline>
            <x14:sparkline>
              <xm:f>'NSWOS dem pair trawl seine'!D7:N7</xm:f>
              <xm:sqref>C7</xm:sqref>
            </x14:sparkline>
            <x14:sparkline>
              <xm:f>'NSWOS dem pair trawl seine'!D8:N8</xm:f>
              <xm:sqref>C8</xm:sqref>
            </x14:sparkline>
            <x14:sparkline>
              <xm:f>'NSWOS dem pair trawl seine'!D9:N9</xm:f>
              <xm:sqref>C9</xm:sqref>
            </x14:sparkline>
            <x14:sparkline>
              <xm:f>'NSWOS dem pair trawl seine'!D10:N10</xm:f>
              <xm:sqref>C10</xm:sqref>
            </x14:sparkline>
            <x14:sparkline>
              <xm:f>'NSWOS dem pair trawl seine'!D11:N11</xm:f>
              <xm:sqref>C11</xm:sqref>
            </x14:sparkline>
            <x14:sparkline>
              <xm:f>'NSWOS dem pair trawl seine'!D12:N12</xm:f>
              <xm:sqref>C12</xm:sqref>
            </x14:sparkline>
            <x14:sparkline>
              <xm:f>'NSWOS dem pair trawl seine'!D13:N13</xm:f>
              <xm:sqref>C13</xm:sqref>
            </x14:sparkline>
            <x14:sparkline>
              <xm:f>'NSWOS dem pair trawl seine'!D14:N14</xm:f>
              <xm:sqref>C14</xm:sqref>
            </x14:sparkline>
            <x14:sparkline>
              <xm:f>'NSWOS dem pair trawl seine'!D15:N15</xm:f>
              <xm:sqref>C15</xm:sqref>
            </x14:sparkline>
            <x14:sparkline>
              <xm:f>'NSWOS dem pair trawl seine'!D16:N16</xm:f>
              <xm:sqref>C16</xm:sqref>
            </x14:sparkline>
            <x14:sparkline>
              <xm:f>'NSWOS dem pair trawl seine'!D17:N17</xm:f>
              <xm:sqref>C17</xm:sqref>
            </x14:sparkline>
            <x14:sparkline>
              <xm:f>'NSWOS dem pair trawl seine'!D18:N18</xm:f>
              <xm:sqref>C18</xm:sqref>
            </x14:sparkline>
            <x14:sparkline>
              <xm:f>'NSWOS dem pair trawl seine'!D19:N19</xm:f>
              <xm:sqref>C19</xm:sqref>
            </x14:sparkline>
            <x14:sparkline>
              <xm:f>'NSWOS dem pair trawl seine'!D20:N20</xm:f>
              <xm:sqref>C20</xm:sqref>
            </x14:sparkline>
            <x14:sparkline>
              <xm:f>'NSWOS dem pair trawl seine'!D21:N21</xm:f>
              <xm:sqref>C21</xm:sqref>
            </x14:sparkline>
            <x14:sparkline>
              <xm:f>'NSWOS dem pair trawl seine'!D22:N22</xm:f>
              <xm:sqref>C22</xm:sqref>
            </x14:sparkline>
            <x14:sparkline>
              <xm:f>'NSWOS dem pair trawl seine'!D23:N23</xm:f>
              <xm:sqref>C23</xm:sqref>
            </x14:sparkline>
            <x14:sparkline>
              <xm:f>'NSWOS dem pair trawl seine'!D24:N24</xm:f>
              <xm:sqref>C24</xm:sqref>
            </x14:sparkline>
            <x14:sparkline>
              <xm:f>'NSWOS dem pair trawl seine'!D25:N25</xm:f>
              <xm:sqref>C25</xm:sqref>
            </x14:sparkline>
            <x14:sparkline>
              <xm:f>'NSWOS dem pair trawl seine'!D26:N26</xm:f>
              <xm:sqref>C26</xm:sqref>
            </x14:sparkline>
            <x14:sparkline>
              <xm:f>'NSWOS dem pair trawl seine'!D27:N27</xm:f>
              <xm:sqref>C27</xm:sqref>
            </x14:sparkline>
            <x14:sparkline>
              <xm:f>'NSWOS dem pair trawl seine'!D28:N28</xm:f>
              <xm:sqref>C28</xm:sqref>
            </x14:sparkline>
            <x14:sparkline>
              <xm:f>'NSWOS dem pair trawl seine'!D29:N29</xm:f>
              <xm:sqref>C29</xm:sqref>
            </x14:sparkline>
            <x14:sparkline>
              <xm:f>'NSWOS dem pair trawl seine'!D30:N30</xm:f>
              <xm:sqref>C30</xm:sqref>
            </x14:sparkline>
            <x14:sparkline>
              <xm:f>'NSWOS dem pair trawl seine'!D31:N31</xm:f>
              <xm:sqref>C31</xm:sqref>
            </x14:sparkline>
            <x14:sparkline>
              <xm:f>'NSWOS dem pair trawl seine'!D32:N32</xm:f>
              <xm:sqref>C32</xm:sqref>
            </x14:sparkline>
            <x14:sparkline>
              <xm:f>'NSWOS dem pair trawl seine'!D33:N33</xm:f>
              <xm:sqref>C33</xm:sqref>
            </x14:sparkline>
            <x14:sparkline>
              <xm:f>'NSWOS dem pair trawl seine'!D34:N34</xm:f>
              <xm:sqref>C34</xm:sqref>
            </x14:sparkline>
            <x14:sparkline>
              <xm:f>'NSWOS dem pair trawl seine'!D35:N35</xm:f>
              <xm:sqref>C35</xm:sqref>
            </x14:sparkline>
            <x14:sparkline>
              <xm:f>'NSWOS dem pair trawl seine'!D36:N36</xm:f>
              <xm:sqref>C36</xm:sqref>
            </x14:sparkline>
            <x14:sparkline>
              <xm:f>'NSWOS dem pair trawl seine'!D37:N37</xm:f>
              <xm:sqref>C37</xm:sqref>
            </x14:sparkline>
            <x14:sparkline>
              <xm:f>'NSWOS dem pair trawl seine'!D38:N38</xm:f>
              <xm:sqref>C38</xm:sqref>
            </x14:sparkline>
            <x14:sparkline>
              <xm:f>'NSWOS dem pair trawl seine'!D39:N39</xm:f>
              <xm:sqref>C39</xm:sqref>
            </x14:sparkline>
            <x14:sparkline>
              <xm:f>'NSWOS dem pair trawl seine'!D40:N40</xm:f>
              <xm:sqref>C40</xm:sqref>
            </x14:sparkline>
            <x14:sparkline>
              <xm:f>'NSWOS dem pair trawl seine'!D41:N41</xm:f>
              <xm:sqref>C41</xm:sqref>
            </x14:sparkline>
            <x14:sparkline>
              <xm:f>'NSWOS dem pair trawl seine'!D42:N42</xm:f>
              <xm:sqref>C42</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F3D1D-2D27-4333-9271-B2D6428B8B73}">
  <sheetPr codeName="Feuil23">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25</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13</v>
      </c>
      <c r="E3" s="28">
        <v>17</v>
      </c>
      <c r="F3" s="28">
        <v>19</v>
      </c>
      <c r="G3" s="28">
        <v>16</v>
      </c>
      <c r="H3" s="28">
        <v>16</v>
      </c>
      <c r="I3" s="28">
        <v>17</v>
      </c>
      <c r="J3" s="28">
        <v>15</v>
      </c>
      <c r="K3" s="28">
        <v>14</v>
      </c>
      <c r="L3" s="28">
        <v>21</v>
      </c>
      <c r="M3" s="28">
        <v>21</v>
      </c>
      <c r="N3" s="28">
        <v>19</v>
      </c>
      <c r="O3" s="29">
        <f t="shared" ref="O3:O42" si="0">IF(N3=0,"",IFERROR(IF(AND(N3&gt;0,D3&lt;0),"na",IF(AND(N3&lt;0,D3&lt;0),-1,1)*(N3-D3)/D3),""))</f>
        <v>0.46153846153846156</v>
      </c>
      <c r="P3" s="29">
        <f t="shared" ref="P3:P42" si="1">IF(N3=0,"",IFERROR(IF(AND(N3&gt;0,J3&lt;0),"na",IF(AND(N3&lt;0,J3&lt;0),-1,1)*(N3-J3)/J3),""))</f>
        <v>0.26666666666666666</v>
      </c>
    </row>
    <row r="4" spans="1:17" ht="18" customHeight="1">
      <c r="A4" s="185"/>
      <c r="B4" s="30" t="s">
        <v>190</v>
      </c>
      <c r="C4" s="31"/>
      <c r="D4" s="31">
        <v>5660</v>
      </c>
      <c r="E4" s="31">
        <v>8300</v>
      </c>
      <c r="F4" s="31">
        <v>8728</v>
      </c>
      <c r="G4" s="31">
        <v>7522</v>
      </c>
      <c r="H4" s="31">
        <v>7090</v>
      </c>
      <c r="I4" s="31">
        <v>9328</v>
      </c>
      <c r="J4" s="31">
        <v>7443</v>
      </c>
      <c r="K4" s="31">
        <v>8351</v>
      </c>
      <c r="L4" s="31">
        <v>14721</v>
      </c>
      <c r="M4" s="31">
        <v>16827</v>
      </c>
      <c r="N4" s="31">
        <v>14523</v>
      </c>
      <c r="O4" s="29">
        <f t="shared" si="0"/>
        <v>1.5659010600706713</v>
      </c>
      <c r="P4" s="29">
        <f t="shared" si="1"/>
        <v>0.95122934300685202</v>
      </c>
    </row>
    <row r="5" spans="1:17" ht="18" customHeight="1">
      <c r="A5" s="185"/>
      <c r="B5" s="30" t="s">
        <v>191</v>
      </c>
      <c r="C5" s="31"/>
      <c r="D5" s="31">
        <v>2273</v>
      </c>
      <c r="E5" s="31">
        <v>3582</v>
      </c>
      <c r="F5" s="31">
        <v>3752</v>
      </c>
      <c r="G5" s="31">
        <v>3090</v>
      </c>
      <c r="H5" s="31">
        <v>3114</v>
      </c>
      <c r="I5" s="31">
        <v>3881</v>
      </c>
      <c r="J5" s="31">
        <v>3320</v>
      </c>
      <c r="K5" s="31">
        <v>3716</v>
      </c>
      <c r="L5" s="31">
        <v>6400</v>
      </c>
      <c r="M5" s="31">
        <v>7016</v>
      </c>
      <c r="N5" s="31">
        <v>6153</v>
      </c>
      <c r="O5" s="29">
        <f t="shared" si="0"/>
        <v>1.7069951605807303</v>
      </c>
      <c r="P5" s="29">
        <f t="shared" si="1"/>
        <v>0.85331325301204819</v>
      </c>
      <c r="Q5" s="32"/>
    </row>
    <row r="6" spans="1:17" ht="18" customHeight="1">
      <c r="A6" s="185"/>
      <c r="B6" s="30" t="s">
        <v>192</v>
      </c>
      <c r="C6" s="31"/>
      <c r="D6" s="31">
        <v>4602.3984375</v>
      </c>
      <c r="E6" s="31">
        <v>7175.685546875</v>
      </c>
      <c r="F6" s="31">
        <v>7485.921875</v>
      </c>
      <c r="G6" s="31">
        <v>6208.4619140625</v>
      </c>
      <c r="H6" s="31">
        <v>6019.3701171875</v>
      </c>
      <c r="I6" s="31">
        <v>7481.39892578125</v>
      </c>
      <c r="J6" s="31">
        <v>6113.0419921875</v>
      </c>
      <c r="K6" s="31">
        <v>6691.64599609375</v>
      </c>
      <c r="L6" s="31">
        <v>11495.80859375</v>
      </c>
      <c r="M6" s="31">
        <v>12746.7607421875</v>
      </c>
      <c r="N6" s="31">
        <v>11128.1416015625</v>
      </c>
      <c r="O6" s="29">
        <f t="shared" si="0"/>
        <v>1.4179005257109489</v>
      </c>
      <c r="P6" s="29">
        <f t="shared" si="1"/>
        <v>0.8203934499033908</v>
      </c>
    </row>
    <row r="7" spans="1:17" ht="18" customHeight="1">
      <c r="A7" s="185"/>
      <c r="B7" s="30" t="s">
        <v>193</v>
      </c>
      <c r="C7" s="31"/>
      <c r="D7" s="31">
        <v>8043.44189453125</v>
      </c>
      <c r="E7" s="31">
        <v>11602.3984375</v>
      </c>
      <c r="F7" s="31">
        <v>13589.15234375</v>
      </c>
      <c r="G7" s="31">
        <v>10911.8828125</v>
      </c>
      <c r="H7" s="31">
        <v>11545.3828125</v>
      </c>
      <c r="I7" s="31">
        <v>13705.560546875</v>
      </c>
      <c r="J7" s="31">
        <v>12705.7802734375</v>
      </c>
      <c r="K7" s="31">
        <v>13188.7958984375</v>
      </c>
      <c r="L7" s="31">
        <v>14244.7685546875</v>
      </c>
      <c r="M7" s="31">
        <v>13591.4345703125</v>
      </c>
      <c r="N7" s="31">
        <v>14604.888671875</v>
      </c>
      <c r="O7" s="29">
        <f t="shared" si="0"/>
        <v>0.81575112537393835</v>
      </c>
      <c r="P7" s="29">
        <f t="shared" si="1"/>
        <v>0.1494680655235118</v>
      </c>
    </row>
    <row r="8" spans="1:17" ht="18" customHeight="1">
      <c r="A8" s="185"/>
      <c r="B8" s="30" t="s">
        <v>194</v>
      </c>
      <c r="C8" s="33"/>
      <c r="D8" s="33">
        <f ca="1">12.717178*OFFSET(D$113,MATCH($N$1,$C$113:$C$114,0)-1,0)</f>
        <v>12.717178000000001</v>
      </c>
      <c r="E8" s="33">
        <f ca="1">18.488826*OFFSET(E$113,MATCH($N$1,$C$113:$C$114,0)-1,0)</f>
        <v>18.488826</v>
      </c>
      <c r="F8" s="33">
        <f ca="1">23.740188*OFFSET(F$113,MATCH($N$1,$C$113:$C$114,0)-1,0)</f>
        <v>23.740188</v>
      </c>
      <c r="G8" s="33">
        <f ca="1">18.860586*OFFSET(G$113,MATCH($N$1,$C$113:$C$114,0)-1,0)</f>
        <v>18.860586000000001</v>
      </c>
      <c r="H8" s="33">
        <f ca="1">21.155806*OFFSET(H$113,MATCH($N$1,$C$113:$C$114,0)-1,0)</f>
        <v>21.155805999999998</v>
      </c>
      <c r="I8" s="33">
        <f ca="1">26.489408*OFFSET(I$113,MATCH($N$1,$C$113:$C$114,0)-1,0)</f>
        <v>26.489408000000001</v>
      </c>
      <c r="J8" s="33">
        <f ca="1">23.932284*OFFSET(J$113,MATCH($N$1,$C$113:$C$114,0)-1,0)</f>
        <v>23.932283999999999</v>
      </c>
      <c r="K8" s="33">
        <f ca="1">26.7442*OFFSET(K$113,MATCH($N$1,$C$113:$C$114,0)-1,0)</f>
        <v>26.744199999999999</v>
      </c>
      <c r="L8" s="33">
        <f ca="1">24.144584*OFFSET(L$113,MATCH($N$1,$C$113:$C$114,0)-1,0)</f>
        <v>24.144583999999998</v>
      </c>
      <c r="M8" s="33">
        <f ca="1">22.146674*OFFSET(M$113,MATCH($N$1,$C$113:$C$114,0)-1,0)</f>
        <v>22.146674000000001</v>
      </c>
      <c r="N8" s="33">
        <v>34.992260000000002</v>
      </c>
      <c r="O8" s="29">
        <f t="shared" ca="1" si="0"/>
        <v>1.7515742879434415</v>
      </c>
      <c r="P8" s="29">
        <f t="shared" ca="1" si="1"/>
        <v>0.46213625076486653</v>
      </c>
    </row>
    <row r="9" spans="1:17" ht="18" customHeight="1">
      <c r="A9" s="185"/>
      <c r="B9" s="30" t="s">
        <v>195</v>
      </c>
      <c r="C9" s="31"/>
      <c r="D9" s="31">
        <v>1557</v>
      </c>
      <c r="E9" s="31">
        <v>2399</v>
      </c>
      <c r="F9" s="31">
        <v>2678</v>
      </c>
      <c r="G9" s="31">
        <v>2296</v>
      </c>
      <c r="H9" s="31">
        <v>2528</v>
      </c>
      <c r="I9" s="31">
        <v>2705</v>
      </c>
      <c r="J9" s="31">
        <v>2370</v>
      </c>
      <c r="K9" s="31">
        <v>2750</v>
      </c>
      <c r="L9" s="31">
        <v>3972</v>
      </c>
      <c r="M9" s="31">
        <v>4225</v>
      </c>
      <c r="N9" s="31">
        <v>4015</v>
      </c>
      <c r="O9" s="29">
        <f t="shared" si="0"/>
        <v>1.5786769428387926</v>
      </c>
      <c r="P9" s="29">
        <f t="shared" si="1"/>
        <v>0.69409282700421937</v>
      </c>
    </row>
    <row r="10" spans="1:17" ht="18" customHeight="1">
      <c r="A10" s="185"/>
      <c r="B10" s="30" t="s">
        <v>196</v>
      </c>
      <c r="C10" s="31"/>
      <c r="D10" s="31">
        <v>2126.4499999999998</v>
      </c>
      <c r="E10" s="31">
        <v>3458.35</v>
      </c>
      <c r="F10" s="31">
        <v>3801.5</v>
      </c>
      <c r="G10" s="31">
        <v>3167</v>
      </c>
      <c r="H10" s="31">
        <v>3602.2000000000003</v>
      </c>
      <c r="I10" s="31">
        <v>3992.05</v>
      </c>
      <c r="J10" s="31">
        <v>3484.7000000000003</v>
      </c>
      <c r="K10" s="31">
        <v>4315.8999999999996</v>
      </c>
      <c r="L10" s="31">
        <v>6302.8</v>
      </c>
      <c r="M10" s="31">
        <v>6918.85</v>
      </c>
      <c r="N10" s="31">
        <v>6565.95</v>
      </c>
      <c r="O10" s="29">
        <f t="shared" si="0"/>
        <v>2.0877518869477298</v>
      </c>
      <c r="P10" s="29">
        <f t="shared" si="1"/>
        <v>0.88422245817430467</v>
      </c>
    </row>
    <row r="11" spans="1:17" ht="18" customHeight="1">
      <c r="A11" s="185"/>
      <c r="B11" s="30" t="s">
        <v>197</v>
      </c>
      <c r="C11" s="31"/>
      <c r="D11" s="31">
        <v>57.433460235595703</v>
      </c>
      <c r="E11" s="31">
        <v>113.02409362792969</v>
      </c>
      <c r="F11" s="31">
        <v>126.82949829101563</v>
      </c>
      <c r="G11" s="31">
        <v>100.36446380615234</v>
      </c>
      <c r="H11" s="31">
        <v>138.49172973632813</v>
      </c>
      <c r="I11" s="31">
        <v>179.50881958007813</v>
      </c>
      <c r="J11" s="31">
        <v>112.54347229003906</v>
      </c>
      <c r="K11" s="31">
        <v>112.27790832519531</v>
      </c>
      <c r="L11" s="31">
        <v>148.86454772949219</v>
      </c>
      <c r="M11" s="31">
        <v>191.86018371582031</v>
      </c>
      <c r="N11" s="31">
        <v>180.69985961914063</v>
      </c>
      <c r="O11" s="34">
        <f t="shared" si="0"/>
        <v>2.1462471332546973</v>
      </c>
      <c r="P11" s="34">
        <f t="shared" si="1"/>
        <v>0.6056005376611604</v>
      </c>
    </row>
    <row r="12" spans="1:17" ht="18" customHeight="1">
      <c r="A12" s="186" t="s">
        <v>198</v>
      </c>
      <c r="B12" s="35" t="s">
        <v>199</v>
      </c>
      <c r="C12" s="36"/>
      <c r="D12" s="36">
        <v>23.332307815551758</v>
      </c>
      <c r="E12" s="36">
        <v>25.007646560668945</v>
      </c>
      <c r="F12" s="36">
        <v>24.441577911376953</v>
      </c>
      <c r="G12" s="36">
        <v>24.149374008178711</v>
      </c>
      <c r="H12" s="36">
        <v>24.066249847412109</v>
      </c>
      <c r="I12" s="36">
        <v>25.570587158203125</v>
      </c>
      <c r="J12" s="36">
        <v>24.865999221801758</v>
      </c>
      <c r="K12" s="36">
        <v>26.718570709228516</v>
      </c>
      <c r="L12" s="36">
        <v>27.861904144287109</v>
      </c>
      <c r="M12" s="36">
        <v>28.770475387573242</v>
      </c>
      <c r="N12" s="36">
        <v>28.398946762084961</v>
      </c>
      <c r="O12" s="29">
        <f t="shared" si="0"/>
        <v>0.21715121309843685</v>
      </c>
      <c r="P12" s="29">
        <f t="shared" si="1"/>
        <v>0.14207945189613058</v>
      </c>
    </row>
    <row r="13" spans="1:17" ht="18" customHeight="1">
      <c r="A13" s="187"/>
      <c r="B13" s="37" t="s">
        <v>190</v>
      </c>
      <c r="C13" s="31"/>
      <c r="D13" s="31">
        <v>435.38461303710938</v>
      </c>
      <c r="E13" s="31">
        <v>488.23529052734375</v>
      </c>
      <c r="F13" s="31">
        <v>459.368408203125</v>
      </c>
      <c r="G13" s="31">
        <v>470.125</v>
      </c>
      <c r="H13" s="31">
        <v>443.125</v>
      </c>
      <c r="I13" s="31">
        <v>548.70587158203125</v>
      </c>
      <c r="J13" s="31">
        <v>496.20001220703125</v>
      </c>
      <c r="K13" s="31">
        <v>596.5</v>
      </c>
      <c r="L13" s="31">
        <v>701</v>
      </c>
      <c r="M13" s="31">
        <v>801.28570556640625</v>
      </c>
      <c r="N13" s="31">
        <v>764.368408203125</v>
      </c>
      <c r="O13" s="29">
        <f t="shared" si="0"/>
        <v>0.7556164947381252</v>
      </c>
      <c r="P13" s="29">
        <f t="shared" si="1"/>
        <v>0.54044415437096949</v>
      </c>
    </row>
    <row r="14" spans="1:17" ht="18" customHeight="1">
      <c r="A14" s="187"/>
      <c r="B14" s="37" t="s">
        <v>191</v>
      </c>
      <c r="C14" s="31"/>
      <c r="D14" s="31">
        <v>174.84616088867188</v>
      </c>
      <c r="E14" s="31">
        <v>210.70588684082031</v>
      </c>
      <c r="F14" s="31">
        <v>197.47367858886719</v>
      </c>
      <c r="G14" s="31">
        <v>193.125</v>
      </c>
      <c r="H14" s="31">
        <v>194.625</v>
      </c>
      <c r="I14" s="31">
        <v>228.29411315917969</v>
      </c>
      <c r="J14" s="31">
        <v>221.33332824707031</v>
      </c>
      <c r="K14" s="31">
        <v>265.42855834960938</v>
      </c>
      <c r="L14" s="31">
        <v>304.76190185546875</v>
      </c>
      <c r="M14" s="31">
        <v>334.09524536132813</v>
      </c>
      <c r="N14" s="31">
        <v>323.84210205078125</v>
      </c>
      <c r="O14" s="29">
        <f t="shared" si="0"/>
        <v>0.85215449058088344</v>
      </c>
      <c r="P14" s="29">
        <f t="shared" si="1"/>
        <v>0.46314206096102384</v>
      </c>
    </row>
    <row r="15" spans="1:17" ht="18" customHeight="1">
      <c r="A15" s="187"/>
      <c r="B15" s="37" t="s">
        <v>192</v>
      </c>
      <c r="C15" s="31"/>
      <c r="D15" s="31">
        <v>354.0306396484375</v>
      </c>
      <c r="E15" s="31">
        <v>422.09915161132813</v>
      </c>
      <c r="F15" s="31">
        <v>393.99588012695313</v>
      </c>
      <c r="G15" s="31">
        <v>388.02886962890625</v>
      </c>
      <c r="H15" s="31">
        <v>376.21063232421875</v>
      </c>
      <c r="I15" s="31">
        <v>440.082275390625</v>
      </c>
      <c r="J15" s="31">
        <v>407.5361328125</v>
      </c>
      <c r="K15" s="31">
        <v>477.9747314453125</v>
      </c>
      <c r="L15" s="31">
        <v>547.41943359375</v>
      </c>
      <c r="M15" s="31">
        <v>606.9886474609375</v>
      </c>
      <c r="N15" s="31">
        <v>585.691650390625</v>
      </c>
      <c r="O15" s="29">
        <f t="shared" si="0"/>
        <v>0.6543529988597413</v>
      </c>
      <c r="P15" s="29">
        <f t="shared" si="1"/>
        <v>0.43715269207820434</v>
      </c>
    </row>
    <row r="16" spans="1:17" ht="18" customHeight="1">
      <c r="A16" s="187"/>
      <c r="B16" s="37" t="s">
        <v>193</v>
      </c>
      <c r="C16" s="33"/>
      <c r="D16" s="33">
        <v>618.726318359375</v>
      </c>
      <c r="E16" s="33">
        <v>682.4940185546875</v>
      </c>
      <c r="F16" s="33">
        <v>715.21856689453125</v>
      </c>
      <c r="G16" s="33">
        <v>681.99267578125</v>
      </c>
      <c r="H16" s="33">
        <v>721.58642578125</v>
      </c>
      <c r="I16" s="33">
        <v>806.20941162109375</v>
      </c>
      <c r="J16" s="33">
        <v>847.05206298828125</v>
      </c>
      <c r="K16" s="33">
        <v>942.056884765625</v>
      </c>
      <c r="L16" s="33">
        <v>678.32232666015625</v>
      </c>
      <c r="M16" s="33">
        <v>647.211181640625</v>
      </c>
      <c r="N16" s="33">
        <v>768.6783447265625</v>
      </c>
      <c r="O16" s="29">
        <f t="shared" si="0"/>
        <v>0.24235598505782457</v>
      </c>
      <c r="P16" s="29">
        <f t="shared" si="1"/>
        <v>-9.2525266965559627E-2</v>
      </c>
    </row>
    <row r="17" spans="1:16" ht="18" customHeight="1">
      <c r="A17" s="187"/>
      <c r="B17" s="37" t="s">
        <v>200</v>
      </c>
      <c r="C17" s="33"/>
      <c r="D17" s="33">
        <f ca="1">978.2444375*OFFSET(D$113,MATCH($N$1,$C$113:$C$114,0)-1,0)</f>
        <v>978.2444375</v>
      </c>
      <c r="E17" s="33">
        <f ca="1">1087.578*OFFSET(E$113,MATCH($N$1,$C$113:$C$114,0)-1,0)</f>
        <v>1087.578</v>
      </c>
      <c r="F17" s="33">
        <f ca="1">1249.483625*OFFSET(F$113,MATCH($N$1,$C$113:$C$114,0)-1,0)</f>
        <v>1249.4836250000001</v>
      </c>
      <c r="G17" s="33">
        <f ca="1">1178.786625*OFFSET(G$113,MATCH($N$1,$C$113:$C$114,0)-1,0)</f>
        <v>1178.786625</v>
      </c>
      <c r="H17" s="33">
        <f ca="1">1322.237875*OFFSET(H$113,MATCH($N$1,$C$113:$C$114,0)-1,0)</f>
        <v>1322.237875</v>
      </c>
      <c r="I17" s="33">
        <f ca="1">1558.2005*OFFSET(I$113,MATCH($N$1,$C$113:$C$114,0)-1,0)</f>
        <v>1558.2004999999999</v>
      </c>
      <c r="J17" s="33">
        <f ca="1">1595.485625*OFFSET(J$113,MATCH($N$1,$C$113:$C$114,0)-1,0)</f>
        <v>1595.485625</v>
      </c>
      <c r="K17" s="33">
        <f ca="1">1910.3*OFFSET(K$113,MATCH($N$1,$C$113:$C$114,0)-1,0)</f>
        <v>1910.3</v>
      </c>
      <c r="L17" s="33">
        <f ca="1">1149.742125*OFFSET(L$113,MATCH($N$1,$C$113:$C$114,0)-1,0)</f>
        <v>1149.742125</v>
      </c>
      <c r="M17" s="33">
        <f ca="1">1054.6035*OFFSET(M$113,MATCH($N$1,$C$113:$C$114,0)-1,0)</f>
        <v>1054.6034999999999</v>
      </c>
      <c r="N17" s="33">
        <v>1841.6980000000001</v>
      </c>
      <c r="O17" s="29">
        <f t="shared" ca="1" si="0"/>
        <v>0.88265624561754796</v>
      </c>
      <c r="P17" s="29">
        <f t="shared" ca="1" si="1"/>
        <v>0.15431814059747487</v>
      </c>
    </row>
    <row r="18" spans="1:16" ht="18" customHeight="1">
      <c r="A18" s="187"/>
      <c r="B18" s="37" t="s">
        <v>195</v>
      </c>
      <c r="C18" s="31"/>
      <c r="D18" s="31">
        <v>119.76923370361328</v>
      </c>
      <c r="E18" s="31">
        <v>141.11764526367188</v>
      </c>
      <c r="F18" s="31">
        <v>140.94737243652344</v>
      </c>
      <c r="G18" s="31">
        <v>143.5</v>
      </c>
      <c r="H18" s="31">
        <v>158</v>
      </c>
      <c r="I18" s="31">
        <v>159.11764526367188</v>
      </c>
      <c r="J18" s="31">
        <v>158</v>
      </c>
      <c r="K18" s="31">
        <v>196.42857360839844</v>
      </c>
      <c r="L18" s="31">
        <v>189.14285278320313</v>
      </c>
      <c r="M18" s="31">
        <v>201.19047546386719</v>
      </c>
      <c r="N18" s="31">
        <v>211.3157958984375</v>
      </c>
      <c r="O18" s="29">
        <f t="shared" si="0"/>
        <v>0.76435791867358649</v>
      </c>
      <c r="P18" s="29">
        <f t="shared" si="1"/>
        <v>0.33744174619264239</v>
      </c>
    </row>
    <row r="19" spans="1:16" ht="18" customHeight="1">
      <c r="A19" s="187"/>
      <c r="B19" s="37" t="s">
        <v>201</v>
      </c>
      <c r="C19" s="31"/>
      <c r="D19" s="31">
        <v>26.615385055541992</v>
      </c>
      <c r="E19" s="31">
        <v>25.411764144897461</v>
      </c>
      <c r="F19" s="31">
        <v>28</v>
      </c>
      <c r="G19" s="31">
        <v>27.625</v>
      </c>
      <c r="H19" s="31">
        <v>26.6875</v>
      </c>
      <c r="I19" s="31">
        <v>24</v>
      </c>
      <c r="J19" s="31">
        <v>18.600000381469727</v>
      </c>
      <c r="K19" s="31">
        <v>15</v>
      </c>
      <c r="L19" s="31">
        <v>12.476190567016602</v>
      </c>
      <c r="M19" s="31">
        <v>8.7142858505249023</v>
      </c>
      <c r="N19" s="31">
        <v>10.368420600891113</v>
      </c>
      <c r="O19" s="29">
        <f t="shared" si="0"/>
        <v>-0.61043507057087842</v>
      </c>
      <c r="P19" s="29">
        <f t="shared" si="1"/>
        <v>-0.44255804364280199</v>
      </c>
    </row>
    <row r="20" spans="1:16" ht="18" customHeight="1">
      <c r="A20" s="187"/>
      <c r="B20" s="37" t="s">
        <v>202</v>
      </c>
      <c r="C20" s="38"/>
      <c r="D20" s="38">
        <v>5.1659870147705078</v>
      </c>
      <c r="E20" s="38">
        <v>4.8363480567932129</v>
      </c>
      <c r="F20" s="38">
        <v>5.0743660926818848</v>
      </c>
      <c r="G20" s="38">
        <v>4.7525620460510254</v>
      </c>
      <c r="H20" s="38">
        <v>4.5670027732849121</v>
      </c>
      <c r="I20" s="38">
        <v>5.0667505264282227</v>
      </c>
      <c r="J20" s="38">
        <v>5.3610892295837402</v>
      </c>
      <c r="K20" s="38">
        <v>4.7959260940551758</v>
      </c>
      <c r="L20" s="38">
        <v>3.5862963199615479</v>
      </c>
      <c r="M20" s="38">
        <v>3.2169077396392822</v>
      </c>
      <c r="N20" s="38">
        <v>3.6375811100006104</v>
      </c>
      <c r="O20" s="29">
        <f t="shared" si="0"/>
        <v>-0.29585941668066601</v>
      </c>
      <c r="P20" s="29">
        <f t="shared" si="1"/>
        <v>-0.32148469196752227</v>
      </c>
    </row>
    <row r="21" spans="1:16" ht="18" customHeight="1">
      <c r="A21" s="188"/>
      <c r="B21" s="39" t="s">
        <v>203</v>
      </c>
      <c r="C21" s="40"/>
      <c r="D21" s="40">
        <f ca="1">1581*OFFSET(D$113,MATCH($N$1,$C$113:$C$114,0)-1,0)</f>
        <v>1581</v>
      </c>
      <c r="E21" s="40">
        <f ca="1">1594*OFFSET(E$113,MATCH($N$1,$C$113:$C$114,0)-1,0)</f>
        <v>1594</v>
      </c>
      <c r="F21" s="40">
        <f ca="1">1747*OFFSET(F$113,MATCH($N$1,$C$113:$C$114,0)-1,0)</f>
        <v>1747</v>
      </c>
      <c r="G21" s="40">
        <f ca="1">1728*OFFSET(G$113,MATCH($N$1,$C$113:$C$114,0)-1,0)</f>
        <v>1728</v>
      </c>
      <c r="H21" s="40">
        <f ca="1">1832*OFFSET(H$113,MATCH($N$1,$C$113:$C$114,0)-1,0)</f>
        <v>1832</v>
      </c>
      <c r="I21" s="40">
        <f ca="1">1933*OFFSET(I$113,MATCH($N$1,$C$113:$C$114,0)-1,0)</f>
        <v>1933</v>
      </c>
      <c r="J21" s="40">
        <f ca="1">1884*OFFSET(J$113,MATCH($N$1,$C$113:$C$114,0)-1,0)</f>
        <v>1884</v>
      </c>
      <c r="K21" s="40">
        <f ca="1">2028*OFFSET(K$113,MATCH($N$1,$C$113:$C$114,0)-1,0)</f>
        <v>2028</v>
      </c>
      <c r="L21" s="40">
        <f ca="1">1695*OFFSET(L$113,MATCH($N$1,$C$113:$C$114,0)-1,0)</f>
        <v>1695</v>
      </c>
      <c r="M21" s="40">
        <f ca="1">1629*OFFSET(M$113,MATCH($N$1,$C$113:$C$114,0)-1,0)</f>
        <v>1629</v>
      </c>
      <c r="N21" s="40">
        <v>2396</v>
      </c>
      <c r="O21" s="34">
        <f t="shared" ca="1" si="0"/>
        <v>0.51549652118912082</v>
      </c>
      <c r="P21" s="34">
        <f t="shared" ca="1" si="1"/>
        <v>0.27176220806794055</v>
      </c>
    </row>
    <row r="22" spans="1:16" ht="18" customHeight="1">
      <c r="A22" s="189" t="s">
        <v>204</v>
      </c>
      <c r="B22" s="35" t="s">
        <v>205</v>
      </c>
      <c r="C22" s="41"/>
      <c r="D22" s="41">
        <v>11.529568433337364</v>
      </c>
      <c r="E22" s="41">
        <v>8.9154712208699785</v>
      </c>
      <c r="F22" s="41">
        <v>10.202824663731205</v>
      </c>
      <c r="G22" s="41">
        <v>9.4220250944414463</v>
      </c>
      <c r="H22" s="41">
        <v>9.8505721695795074</v>
      </c>
      <c r="I22" s="41">
        <v>8.2895243402969658</v>
      </c>
      <c r="J22" s="41">
        <v>10.872289145496374</v>
      </c>
      <c r="K22" s="41">
        <v>7.8430139853954017</v>
      </c>
      <c r="L22" s="41">
        <v>4.6406443131337678</v>
      </c>
      <c r="M22" s="41">
        <v>3.9013346583132309</v>
      </c>
      <c r="N22" s="41">
        <v>4.5765802616298998</v>
      </c>
      <c r="O22" s="29">
        <f t="shared" si="0"/>
        <v>-0.60305710590199801</v>
      </c>
      <c r="P22" s="29">
        <f t="shared" si="1"/>
        <v>-0.5790601040512563</v>
      </c>
    </row>
    <row r="23" spans="1:16" ht="18" customHeight="1">
      <c r="A23" s="189"/>
      <c r="B23" s="37" t="s">
        <v>206</v>
      </c>
      <c r="C23" s="38"/>
      <c r="D23" s="38">
        <f ca="1">18.2289581871913*OFFSET(D$113,MATCH($N$1,$C$113:$C$114,0)-1,0)</f>
        <v>18.228958187191299</v>
      </c>
      <c r="E23" s="38">
        <f ca="1">14.2071140491239*OFFSET(E$113,MATCH($N$1,$C$113:$C$114,0)-1,0)</f>
        <v>14.2071140491239</v>
      </c>
      <c r="F23" s="38">
        <f ca="1">17.8242888763795*OFFSET(F$113,MATCH($N$1,$C$113:$C$114,0)-1,0)</f>
        <v>17.824288876379502</v>
      </c>
      <c r="G23" s="38">
        <f ca="1">16.2854493254182*OFFSET(G$113,MATCH($N$1,$C$113:$C$114,0)-1,0)</f>
        <v>16.285449325418199</v>
      </c>
      <c r="H23" s="38">
        <f ca="1">18.050228146874*OFFSET(H$113,MATCH($N$1,$C$113:$C$114,0)-1,0)</f>
        <v>18.050228146874002</v>
      </c>
      <c r="I23" s="38">
        <f ca="1">16.021570556762*OFFSET(I$113,MATCH($N$1,$C$113:$C$114,0)-1,0)</f>
        <v>16.021570556762001</v>
      </c>
      <c r="J23" s="38">
        <f ca="1">20.4787660646108*OFFSET(J$113,MATCH($N$1,$C$113:$C$114,0)-1,0)</f>
        <v>20.478766064610799</v>
      </c>
      <c r="K23" s="38">
        <f ca="1">15.9040391918884*OFFSET(K$113,MATCH($N$1,$C$113:$C$114,0)-1,0)</f>
        <v>15.904039191888399</v>
      </c>
      <c r="L23" s="38">
        <f ca="1">7.865794835653*OFFSET(L$113,MATCH($N$1,$C$113:$C$114,0)-1,0)</f>
        <v>7.8657948356530003</v>
      </c>
      <c r="M23" s="38">
        <f ca="1">6.35706134572472*OFFSET(M$113,MATCH($N$1,$C$113:$C$114,0)-1,0)</f>
        <v>6.3570613457247198</v>
      </c>
      <c r="N23" s="38">
        <v>10.965156976916722</v>
      </c>
      <c r="O23" s="29">
        <f t="shared" ca="1" si="0"/>
        <v>-0.3984759378831938</v>
      </c>
      <c r="P23" s="29">
        <f t="shared" ca="1" si="1"/>
        <v>-0.46455968380509377</v>
      </c>
    </row>
    <row r="24" spans="1:16" ht="18" customHeight="1">
      <c r="A24" s="189"/>
      <c r="B24" s="37" t="s">
        <v>153</v>
      </c>
      <c r="C24" s="38"/>
      <c r="D24" s="38">
        <f ca="1">16.6701892399241*OFFSET(D$113,MATCH($N$1,$C$113:$C$114,0)-1,0)</f>
        <v>16.670189239924099</v>
      </c>
      <c r="E24" s="38">
        <f ca="1">13.2051461171384*OFFSET(E$113,MATCH($N$1,$C$113:$C$114,0)-1,0)</f>
        <v>13.205146117138399</v>
      </c>
      <c r="F24" s="38">
        <f ca="1">14.8142832003408*OFFSET(F$113,MATCH($N$1,$C$113:$C$114,0)-1,0)</f>
        <v>14.8142832003408</v>
      </c>
      <c r="G24" s="38">
        <f ca="1">14.6255110631409*OFFSET(G$113,MATCH($N$1,$C$113:$C$114,0)-1,0)</f>
        <v>14.6255110631409</v>
      </c>
      <c r="H24" s="38">
        <f ca="1">15.0820642983417*OFFSET(H$113,MATCH($N$1,$C$113:$C$114,0)-1,0)</f>
        <v>15.082064298341701</v>
      </c>
      <c r="I24" s="38">
        <f ca="1">12.7958400237259*OFFSET(I$113,MATCH($N$1,$C$113:$C$114,0)-1,0)</f>
        <v>12.7958400237259</v>
      </c>
      <c r="J24" s="38">
        <f ca="1">15.8901502609305*OFFSET(J$113,MATCH($N$1,$C$113:$C$114,0)-1,0)</f>
        <v>15.890150260930501</v>
      </c>
      <c r="K24" s="38">
        <f ca="1">13.7298283988992*OFFSET(K$113,MATCH($N$1,$C$113:$C$114,0)-1,0)</f>
        <v>13.729828398899199</v>
      </c>
      <c r="L24" s="38">
        <f ca="1">6.87594668595644*OFFSET(L$113,MATCH($N$1,$C$113:$C$114,0)-1,0)</f>
        <v>6.87594668595644</v>
      </c>
      <c r="M24" s="38">
        <f ca="1">6.06527406579546*OFFSET(M$113,MATCH($N$1,$C$113:$C$114,0)-1,0)</f>
        <v>6.0652740657954602</v>
      </c>
      <c r="N24" s="38">
        <v>10.505855801212032</v>
      </c>
      <c r="O24" s="29">
        <f t="shared" ca="1" si="0"/>
        <v>-0.36978185130309493</v>
      </c>
      <c r="P24" s="29">
        <f t="shared" ca="1" si="1"/>
        <v>-0.33884477939500446</v>
      </c>
    </row>
    <row r="25" spans="1:16" ht="18" customHeight="1">
      <c r="A25" s="189"/>
      <c r="B25" s="37" t="s">
        <v>154</v>
      </c>
      <c r="C25" s="38"/>
      <c r="D25" s="38">
        <f ca="1">3.79525002906159*OFFSET(D$113,MATCH($N$1,$C$113:$C$114,0)-1,0)</f>
        <v>3.7952500290615898</v>
      </c>
      <c r="E25" s="38">
        <f ca="1">2.80874544361441*OFFSET(E$113,MATCH($N$1,$C$113:$C$114,0)-1,0)</f>
        <v>2.8087454436144101</v>
      </c>
      <c r="F25" s="38">
        <f ca="1">4.64269876750943*OFFSET(F$113,MATCH($N$1,$C$113:$C$114,0)-1,0)</f>
        <v>4.6426987675094296</v>
      </c>
      <c r="G25" s="38">
        <f ca="1">4.07031365353481*OFFSET(G$113,MATCH($N$1,$C$113:$C$114,0)-1,0)</f>
        <v>4.0703136535348099</v>
      </c>
      <c r="H25" s="38">
        <f ca="1">4.27444729414736*OFFSET(H$113,MATCH($N$1,$C$113:$C$114,0)-1,0)</f>
        <v>4.2744472941473601</v>
      </c>
      <c r="I25" s="38">
        <f ca="1">4.3796500889522*OFFSET(I$113,MATCH($N$1,$C$113:$C$114,0)-1,0)</f>
        <v>4.3796500889522001</v>
      </c>
      <c r="J25" s="38">
        <f ca="1">5.73796521715064*OFFSET(J$113,MATCH($N$1,$C$113:$C$114,0)-1,0)</f>
        <v>5.7379652171506397</v>
      </c>
      <c r="K25" s="38">
        <f ca="1">2.47969893220056*OFFSET(K$113,MATCH($N$1,$C$113:$C$114,0)-1,0)</f>
        <v>2.4796989322005598</v>
      </c>
      <c r="L25" s="38">
        <f ca="1">1.3289580369414*OFFSET(L$113,MATCH($N$1,$C$113:$C$114,0)-1,0)</f>
        <v>1.3289580369414</v>
      </c>
      <c r="M25" s="38">
        <f ca="1">0.494027700911383*OFFSET(M$113,MATCH($N$1,$C$113:$C$114,0)-1,0)</f>
        <v>0.49402770091138298</v>
      </c>
      <c r="N25" s="38">
        <v>0.80814126727087499</v>
      </c>
      <c r="O25" s="29">
        <f t="shared" ca="1" si="0"/>
        <v>-0.78706507843155327</v>
      </c>
      <c r="P25" s="29">
        <f t="shared" ca="1" si="1"/>
        <v>-0.85915891144558354</v>
      </c>
    </row>
    <row r="26" spans="1:16" ht="18" customHeight="1">
      <c r="A26" s="189"/>
      <c r="B26" s="37" t="s">
        <v>207</v>
      </c>
      <c r="C26" s="33"/>
      <c r="D26" s="33">
        <f ca="1">221.41*OFFSET(D$113,MATCH($N$1,$C$113:$C$114,0)-1,0)</f>
        <v>221.41</v>
      </c>
      <c r="E26" s="33">
        <f ca="1">163.59*OFFSET(E$113,MATCH($N$1,$C$113:$C$114,0)-1,0)</f>
        <v>163.59</v>
      </c>
      <c r="F26" s="33">
        <f ca="1">187.18*OFFSET(F$113,MATCH($N$1,$C$113:$C$114,0)-1,0)</f>
        <v>187.18</v>
      </c>
      <c r="G26" s="33">
        <f ca="1">187.92*OFFSET(G$113,MATCH($N$1,$C$113:$C$114,0)-1,0)</f>
        <v>187.92</v>
      </c>
      <c r="H26" s="33">
        <f ca="1">152.75*OFFSET(H$113,MATCH($N$1,$C$113:$C$114,0)-1,0)</f>
        <v>152.75</v>
      </c>
      <c r="I26" s="33">
        <f ca="1">147.57*OFFSET(I$113,MATCH($N$1,$C$113:$C$114,0)-1,0)</f>
        <v>147.57</v>
      </c>
      <c r="J26" s="33">
        <f ca="1">212.65*OFFSET(J$113,MATCH($N$1,$C$113:$C$114,0)-1,0)</f>
        <v>212.65</v>
      </c>
      <c r="K26" s="33">
        <f ca="1">238.2*OFFSET(K$113,MATCH($N$1,$C$113:$C$114,0)-1,0)</f>
        <v>238.2</v>
      </c>
      <c r="L26" s="33">
        <f ca="1">162.19*OFFSET(L$113,MATCH($N$1,$C$113:$C$114,0)-1,0)</f>
        <v>162.19</v>
      </c>
      <c r="M26" s="33">
        <f ca="1">115.43*OFFSET(M$113,MATCH($N$1,$C$113:$C$114,0)-1,0)</f>
        <v>115.43</v>
      </c>
      <c r="N26" s="33">
        <v>193.65</v>
      </c>
      <c r="O26" s="29">
        <f t="shared" ca="1" si="0"/>
        <v>-0.12537825753127677</v>
      </c>
      <c r="P26" s="29">
        <f t="shared" ca="1" si="1"/>
        <v>-8.9348695038796139E-2</v>
      </c>
    </row>
    <row r="27" spans="1:16" ht="18" customHeight="1">
      <c r="A27" s="190"/>
      <c r="B27" s="37" t="s">
        <v>208</v>
      </c>
      <c r="C27" s="33"/>
      <c r="D27" s="33">
        <f ca="1">46.11*OFFSET(D$113,MATCH($N$1,$C$113:$C$114,0)-1,0)</f>
        <v>46.11</v>
      </c>
      <c r="E27" s="33">
        <f ca="1">32.34*OFFSET(E$113,MATCH($N$1,$C$113:$C$114,0)-1,0)</f>
        <v>32.340000000000003</v>
      </c>
      <c r="F27" s="33">
        <f ca="1">48.76*OFFSET(F$113,MATCH($N$1,$C$113:$C$114,0)-1,0)</f>
        <v>48.76</v>
      </c>
      <c r="G27" s="33">
        <f ca="1">46.96*OFFSET(G$113,MATCH($N$1,$C$113:$C$114,0)-1,0)</f>
        <v>46.96</v>
      </c>
      <c r="H27" s="33">
        <f ca="1">36.17*OFFSET(H$113,MATCH($N$1,$C$113:$C$114,0)-1,0)</f>
        <v>36.17</v>
      </c>
      <c r="I27" s="33">
        <f ca="1">40.33*OFFSET(I$113,MATCH($N$1,$C$113:$C$114,0)-1,0)</f>
        <v>40.33</v>
      </c>
      <c r="J27" s="33">
        <f ca="1">59.58*OFFSET(J$113,MATCH($N$1,$C$113:$C$114,0)-1,0)</f>
        <v>59.58</v>
      </c>
      <c r="K27" s="33">
        <f ca="1">37.13*OFFSET(K$113,MATCH($N$1,$C$113:$C$114,0)-1,0)</f>
        <v>37.130000000000003</v>
      </c>
      <c r="L27" s="33">
        <f ca="1">27.41*OFFSET(L$113,MATCH($N$1,$C$113:$C$114,0)-1,0)</f>
        <v>27.41</v>
      </c>
      <c r="M27" s="33">
        <f ca="1">8.98*OFFSET(M$113,MATCH($N$1,$C$113:$C$114,0)-1,0)</f>
        <v>8.98</v>
      </c>
      <c r="N27" s="33">
        <v>14.27</v>
      </c>
      <c r="O27" s="34">
        <f t="shared" ca="1" si="0"/>
        <v>-0.69052266319670352</v>
      </c>
      <c r="P27" s="34">
        <f t="shared" ca="1" si="1"/>
        <v>-0.76049009734810347</v>
      </c>
    </row>
    <row r="28" spans="1:16" s="78" customFormat="1" ht="18" customHeight="1">
      <c r="A28" s="191" t="s">
        <v>209</v>
      </c>
      <c r="B28" s="82" t="s">
        <v>200</v>
      </c>
      <c r="C28" s="83"/>
      <c r="D28" s="83">
        <f ca="1">978.2*OFFSET(D$113,MATCH($N$1,$C$113:$C$114,0)-1,0)</f>
        <v>978.2</v>
      </c>
      <c r="E28" s="83">
        <f ca="1">1087.6*OFFSET(E$113,MATCH($N$1,$C$113:$C$114,0)-1,0)</f>
        <v>1087.5999999999999</v>
      </c>
      <c r="F28" s="83">
        <f ca="1">1249.5*OFFSET(F$113,MATCH($N$1,$C$113:$C$114,0)-1,0)</f>
        <v>1249.5</v>
      </c>
      <c r="G28" s="83">
        <f ca="1">1178.8*OFFSET(G$113,MATCH($N$1,$C$113:$C$114,0)-1,0)</f>
        <v>1178.8</v>
      </c>
      <c r="H28" s="83">
        <f ca="1">1322.2*OFFSET(H$113,MATCH($N$1,$C$113:$C$114,0)-1,0)</f>
        <v>1322.2</v>
      </c>
      <c r="I28" s="83">
        <f ca="1">1558.2*OFFSET(I$113,MATCH($N$1,$C$113:$C$114,0)-1,0)</f>
        <v>1558.2</v>
      </c>
      <c r="J28" s="83">
        <f ca="1">1595.5*OFFSET(J$113,MATCH($N$1,$C$113:$C$114,0)-1,0)</f>
        <v>1595.5</v>
      </c>
      <c r="K28" s="83">
        <f ca="1">1910.3*OFFSET(K$113,MATCH($N$1,$C$113:$C$114,0)-1,0)</f>
        <v>1910.3</v>
      </c>
      <c r="L28" s="83">
        <f ca="1">1149.7*OFFSET(L$113,MATCH($N$1,$C$113:$C$114,0)-1,0)</f>
        <v>1149.7</v>
      </c>
      <c r="M28" s="83">
        <f ca="1">1054.6*OFFSET(M$113,MATCH($N$1,$C$113:$C$114,0)-1,0)</f>
        <v>1054.5999999999999</v>
      </c>
      <c r="N28" s="83">
        <v>1841.7</v>
      </c>
      <c r="O28" s="84">
        <f t="shared" ca="1" si="0"/>
        <v>0.88274381517072165</v>
      </c>
      <c r="P28" s="84">
        <f t="shared" ca="1" si="1"/>
        <v>0.15430899404575371</v>
      </c>
    </row>
    <row r="29" spans="1:16" s="78" customFormat="1" ht="18" customHeight="1">
      <c r="A29" s="192"/>
      <c r="B29" s="85" t="s">
        <v>210</v>
      </c>
      <c r="C29" s="86"/>
      <c r="D29" s="86">
        <f ca="1">120*OFFSET(D$113,MATCH($N$1,$C$113:$C$114,0)-1,0)</f>
        <v>120</v>
      </c>
      <c r="E29" s="86">
        <f ca="1">138.3*OFFSET(E$113,MATCH($N$1,$C$113:$C$114,0)-1,0)</f>
        <v>138.30000000000001</v>
      </c>
      <c r="F29" s="86">
        <f ca="1">114.5*OFFSET(F$113,MATCH($N$1,$C$113:$C$114,0)-1,0)</f>
        <v>114.5</v>
      </c>
      <c r="G29" s="86">
        <f ca="1">174.5*OFFSET(G$113,MATCH($N$1,$C$113:$C$114,0)-1,0)</f>
        <v>174.5</v>
      </c>
      <c r="H29" s="86">
        <f ca="1">95.7*OFFSET(H$113,MATCH($N$1,$C$113:$C$114,0)-1,0)</f>
        <v>95.7</v>
      </c>
      <c r="I29" s="86">
        <f ca="1">112.2*OFFSET(I$113,MATCH($N$1,$C$113:$C$114,0)-1,0)</f>
        <v>112.2</v>
      </c>
      <c r="J29" s="86">
        <f ca="1">89.5*OFFSET(J$113,MATCH($N$1,$C$113:$C$114,0)-1,0)</f>
        <v>89.5</v>
      </c>
      <c r="K29" s="86">
        <f ca="1">36.7*OFFSET(K$113,MATCH($N$1,$C$113:$C$114,0)-1,0)</f>
        <v>36.700000000000003</v>
      </c>
      <c r="L29" s="86">
        <f ca="1">49.6*OFFSET(L$113,MATCH($N$1,$C$113:$C$114,0)-1,0)</f>
        <v>49.6</v>
      </c>
      <c r="M29" s="86">
        <f ca="1">33.6*OFFSET(M$113,MATCH($N$1,$C$113:$C$114,0)-1,0)</f>
        <v>33.6</v>
      </c>
      <c r="N29" s="86">
        <v>58.6</v>
      </c>
      <c r="O29" s="84">
        <f t="shared" ca="1" si="0"/>
        <v>-0.5116666666666666</v>
      </c>
      <c r="P29" s="84">
        <f t="shared" ca="1" si="1"/>
        <v>-0.34525139664804466</v>
      </c>
    </row>
    <row r="30" spans="1:16" s="78" customFormat="1" ht="18" customHeight="1">
      <c r="A30" s="192"/>
      <c r="B30" s="87" t="s">
        <v>211</v>
      </c>
      <c r="C30" s="88"/>
      <c r="D30" s="88">
        <f ca="1">1098.3*OFFSET(D$113,MATCH($N$1,$C$113:$C$114,0)-1,0)</f>
        <v>1098.3</v>
      </c>
      <c r="E30" s="88">
        <f ca="1">1225.9*OFFSET(E$113,MATCH($N$1,$C$113:$C$114,0)-1,0)</f>
        <v>1225.9000000000001</v>
      </c>
      <c r="F30" s="88">
        <f ca="1">1363.9*OFFSET(F$113,MATCH($N$1,$C$113:$C$114,0)-1,0)</f>
        <v>1363.9</v>
      </c>
      <c r="G30" s="88">
        <f ca="1">1353.3*OFFSET(G$113,MATCH($N$1,$C$113:$C$114,0)-1,0)</f>
        <v>1353.3</v>
      </c>
      <c r="H30" s="88">
        <f ca="1">1417.9*OFFSET(H$113,MATCH($N$1,$C$113:$C$114,0)-1,0)</f>
        <v>1417.9</v>
      </c>
      <c r="I30" s="88">
        <f ca="1">1670.4*OFFSET(I$113,MATCH($N$1,$C$113:$C$114,0)-1,0)</f>
        <v>1670.4</v>
      </c>
      <c r="J30" s="88">
        <f ca="1">1685*OFFSET(J$113,MATCH($N$1,$C$113:$C$114,0)-1,0)</f>
        <v>1685</v>
      </c>
      <c r="K30" s="88">
        <f ca="1">1947*OFFSET(K$113,MATCH($N$1,$C$113:$C$114,0)-1,0)</f>
        <v>1947</v>
      </c>
      <c r="L30" s="88">
        <f ca="1">1199.3*OFFSET(L$113,MATCH($N$1,$C$113:$C$114,0)-1,0)</f>
        <v>1199.3</v>
      </c>
      <c r="M30" s="88">
        <f ca="1">1088.2*OFFSET(M$113,MATCH($N$1,$C$113:$C$114,0)-1,0)</f>
        <v>1088.2</v>
      </c>
      <c r="N30" s="88">
        <v>1900.3</v>
      </c>
      <c r="O30" s="84">
        <f t="shared" ca="1" si="0"/>
        <v>0.73021943002822542</v>
      </c>
      <c r="P30" s="84">
        <f t="shared" ca="1" si="1"/>
        <v>0.12777448071216616</v>
      </c>
    </row>
    <row r="31" spans="1:16" s="78" customFormat="1" ht="18" customHeight="1">
      <c r="A31" s="192"/>
      <c r="B31" s="85" t="s">
        <v>212</v>
      </c>
      <c r="C31" s="86"/>
      <c r="D31" s="86">
        <f ca="1">116.2*OFFSET(D$113,MATCH($N$1,$C$113:$C$114,0)-1,0)</f>
        <v>116.2</v>
      </c>
      <c r="E31" s="86">
        <f ca="1">137.3*OFFSET(E$113,MATCH($N$1,$C$113:$C$114,0)-1,0)</f>
        <v>137.30000000000001</v>
      </c>
      <c r="F31" s="86">
        <f ca="1">122.2*OFFSET(F$113,MATCH($N$1,$C$113:$C$114,0)-1,0)</f>
        <v>122.2</v>
      </c>
      <c r="G31" s="86">
        <f ca="1">83.7*OFFSET(G$113,MATCH($N$1,$C$113:$C$114,0)-1,0)</f>
        <v>83.7</v>
      </c>
      <c r="H31" s="86">
        <f ca="1">89.1*OFFSET(H$113,MATCH($N$1,$C$113:$C$114,0)-1,0)</f>
        <v>89.1</v>
      </c>
      <c r="I31" s="86">
        <f ca="1">113.2*OFFSET(I$113,MATCH($N$1,$C$113:$C$114,0)-1,0)</f>
        <v>113.2</v>
      </c>
      <c r="J31" s="86">
        <f ca="1">132.8*OFFSET(J$113,MATCH($N$1,$C$113:$C$114,0)-1,0)</f>
        <v>132.80000000000001</v>
      </c>
      <c r="K31" s="86">
        <f ca="1">169.5*OFFSET(K$113,MATCH($N$1,$C$113:$C$114,0)-1,0)</f>
        <v>169.5</v>
      </c>
      <c r="L31" s="86">
        <f ca="1">116.4*OFFSET(L$113,MATCH($N$1,$C$113:$C$114,0)-1,0)</f>
        <v>116.4</v>
      </c>
      <c r="M31" s="86">
        <f ca="1">157*OFFSET(M$113,MATCH($N$1,$C$113:$C$114,0)-1,0)</f>
        <v>157</v>
      </c>
      <c r="N31" s="86">
        <v>287.60000000000002</v>
      </c>
      <c r="O31" s="84">
        <f t="shared" ca="1" si="0"/>
        <v>1.4750430292598971</v>
      </c>
      <c r="P31" s="84">
        <f t="shared" ca="1" si="1"/>
        <v>1.1656626506024097</v>
      </c>
    </row>
    <row r="32" spans="1:16" s="78" customFormat="1" ht="18" customHeight="1">
      <c r="A32" s="192"/>
      <c r="B32" s="85" t="s">
        <v>213</v>
      </c>
      <c r="C32" s="86"/>
      <c r="D32" s="86">
        <f ca="1">225.1*OFFSET(D$113,MATCH($N$1,$C$113:$C$114,0)-1,0)</f>
        <v>225.1</v>
      </c>
      <c r="E32" s="86">
        <f ca="1">325.9*OFFSET(E$113,MATCH($N$1,$C$113:$C$114,0)-1,0)</f>
        <v>325.89999999999998</v>
      </c>
      <c r="F32" s="86">
        <f ca="1">332.6*OFFSET(F$113,MATCH($N$1,$C$113:$C$114,0)-1,0)</f>
        <v>332.6</v>
      </c>
      <c r="G32" s="86">
        <f ca="1">305.2*OFFSET(G$113,MATCH($N$1,$C$113:$C$114,0)-1,0)</f>
        <v>305.2</v>
      </c>
      <c r="H32" s="86">
        <f ca="1">352.3*OFFSET(H$113,MATCH($N$1,$C$113:$C$114,0)-1,0)</f>
        <v>352.3</v>
      </c>
      <c r="I32" s="86">
        <f ca="1">430.8*OFFSET(I$113,MATCH($N$1,$C$113:$C$114,0)-1,0)</f>
        <v>430.8</v>
      </c>
      <c r="J32" s="86">
        <f ca="1">468.4*OFFSET(J$113,MATCH($N$1,$C$113:$C$114,0)-1,0)</f>
        <v>468.4</v>
      </c>
      <c r="K32" s="86">
        <f ca="1">488.3*OFFSET(K$113,MATCH($N$1,$C$113:$C$114,0)-1,0)</f>
        <v>488.3</v>
      </c>
      <c r="L32" s="86">
        <f ca="1">298.5*OFFSET(L$113,MATCH($N$1,$C$113:$C$114,0)-1,0)</f>
        <v>298.5</v>
      </c>
      <c r="M32" s="86">
        <f ca="1">268*OFFSET(M$113,MATCH($N$1,$C$113:$C$114,0)-1,0)</f>
        <v>268</v>
      </c>
      <c r="N32" s="86">
        <v>462.1</v>
      </c>
      <c r="O32" s="84">
        <f t="shared" ca="1" si="0"/>
        <v>1.0528653931585963</v>
      </c>
      <c r="P32" s="84">
        <f t="shared" ca="1" si="1"/>
        <v>-1.3450042698548152E-2</v>
      </c>
    </row>
    <row r="33" spans="1:16" s="78" customFormat="1" ht="18" customHeight="1">
      <c r="A33" s="192"/>
      <c r="B33" s="85" t="s">
        <v>214</v>
      </c>
      <c r="C33" s="86"/>
      <c r="D33" s="86">
        <f ca="1">360.2*OFFSET(D$113,MATCH($N$1,$C$113:$C$114,0)-1,0)</f>
        <v>360.2</v>
      </c>
      <c r="E33" s="86">
        <f ca="1">316.1*OFFSET(E$113,MATCH($N$1,$C$113:$C$114,0)-1,0)</f>
        <v>316.10000000000002</v>
      </c>
      <c r="F33" s="86">
        <f ca="1">337.7*OFFSET(F$113,MATCH($N$1,$C$113:$C$114,0)-1,0)</f>
        <v>337.7</v>
      </c>
      <c r="G33" s="86">
        <f ca="1">416.1*OFFSET(G$113,MATCH($N$1,$C$113:$C$114,0)-1,0)</f>
        <v>416.1</v>
      </c>
      <c r="H33" s="86">
        <f ca="1">406.9*OFFSET(H$113,MATCH($N$1,$C$113:$C$114,0)-1,0)</f>
        <v>406.9</v>
      </c>
      <c r="I33" s="86">
        <f ca="1">389.4*OFFSET(I$113,MATCH($N$1,$C$113:$C$114,0)-1,0)</f>
        <v>389.4</v>
      </c>
      <c r="J33" s="86">
        <f ca="1">363.9*OFFSET(J$113,MATCH($N$1,$C$113:$C$114,0)-1,0)</f>
        <v>363.9</v>
      </c>
      <c r="K33" s="86">
        <f ca="1">621.6*OFFSET(K$113,MATCH($N$1,$C$113:$C$114,0)-1,0)</f>
        <v>621.6</v>
      </c>
      <c r="L33" s="86">
        <f ca="1">282.8*OFFSET(L$113,MATCH($N$1,$C$113:$C$114,0)-1,0)</f>
        <v>282.8</v>
      </c>
      <c r="M33" s="86">
        <f ca="1">297.4*OFFSET(M$113,MATCH($N$1,$C$113:$C$114,0)-1,0)</f>
        <v>297.39999999999998</v>
      </c>
      <c r="N33" s="86">
        <v>519.4</v>
      </c>
      <c r="O33" s="84">
        <f t="shared" ca="1" si="0"/>
        <v>0.44197667962243198</v>
      </c>
      <c r="P33" s="84">
        <f t="shared" ca="1" si="1"/>
        <v>0.42731519648255017</v>
      </c>
    </row>
    <row r="34" spans="1:16" s="78" customFormat="1" ht="18" customHeight="1">
      <c r="A34" s="192"/>
      <c r="B34" s="85" t="s">
        <v>215</v>
      </c>
      <c r="C34" s="86"/>
      <c r="D34" s="86">
        <f ca="1">701.4*OFFSET(D$113,MATCH($N$1,$C$113:$C$114,0)-1,0)</f>
        <v>701.4</v>
      </c>
      <c r="E34" s="86">
        <f ca="1">779.3*OFFSET(E$113,MATCH($N$1,$C$113:$C$114,0)-1,0)</f>
        <v>779.3</v>
      </c>
      <c r="F34" s="86">
        <f ca="1">792.5*OFFSET(F$113,MATCH($N$1,$C$113:$C$114,0)-1,0)</f>
        <v>792.5</v>
      </c>
      <c r="G34" s="86">
        <f ca="1">805*OFFSET(G$113,MATCH($N$1,$C$113:$C$114,0)-1,0)</f>
        <v>805</v>
      </c>
      <c r="H34" s="86">
        <f ca="1">848.3*OFFSET(H$113,MATCH($N$1,$C$113:$C$114,0)-1,0)</f>
        <v>848.3</v>
      </c>
      <c r="I34" s="86">
        <f ca="1">933.4*OFFSET(I$113,MATCH($N$1,$C$113:$C$114,0)-1,0)</f>
        <v>933.4</v>
      </c>
      <c r="J34" s="86">
        <f ca="1">965.1*OFFSET(J$113,MATCH($N$1,$C$113:$C$114,0)-1,0)</f>
        <v>965.1</v>
      </c>
      <c r="K34" s="86">
        <f ca="1">1279.4*OFFSET(K$113,MATCH($N$1,$C$113:$C$114,0)-1,0)</f>
        <v>1279.4000000000001</v>
      </c>
      <c r="L34" s="86">
        <f ca="1">697.7*OFFSET(L$113,MATCH($N$1,$C$113:$C$114,0)-1,0)</f>
        <v>697.7</v>
      </c>
      <c r="M34" s="86">
        <f ca="1">722.5*OFFSET(M$113,MATCH($N$1,$C$113:$C$114,0)-1,0)</f>
        <v>722.5</v>
      </c>
      <c r="N34" s="86">
        <v>1269.1000000000001</v>
      </c>
      <c r="O34" s="84">
        <f t="shared" ca="1" si="0"/>
        <v>0.80938123752495039</v>
      </c>
      <c r="P34" s="84">
        <f t="shared" ca="1" si="1"/>
        <v>0.31499326494663776</v>
      </c>
    </row>
    <row r="35" spans="1:16" s="78" customFormat="1" ht="18" customHeight="1">
      <c r="A35" s="192"/>
      <c r="B35" s="85" t="s">
        <v>216</v>
      </c>
      <c r="C35" s="86"/>
      <c r="D35" s="86">
        <f ca="1">193.2*OFFSET(D$113,MATCH($N$1,$C$113:$C$114,0)-1,0)</f>
        <v>193.2</v>
      </c>
      <c r="E35" s="86">
        <f ca="1">231.6*OFFSET(E$113,MATCH($N$1,$C$113:$C$114,0)-1,0)</f>
        <v>231.6</v>
      </c>
      <c r="F35" s="86">
        <f ca="1">246*OFFSET(F$113,MATCH($N$1,$C$113:$C$114,0)-1,0)</f>
        <v>246</v>
      </c>
      <c r="G35" s="86">
        <f ca="1">253.7*OFFSET(G$113,MATCH($N$1,$C$113:$C$114,0)-1,0)</f>
        <v>253.7</v>
      </c>
      <c r="H35" s="86">
        <f ca="1">256.5*OFFSET(H$113,MATCH($N$1,$C$113:$C$114,0)-1,0)</f>
        <v>256.5</v>
      </c>
      <c r="I35" s="86">
        <f ca="1">311.1*OFFSET(I$113,MATCH($N$1,$C$113:$C$114,0)-1,0)</f>
        <v>311.10000000000002</v>
      </c>
      <c r="J35" s="86">
        <f ca="1">272.9*OFFSET(J$113,MATCH($N$1,$C$113:$C$114,0)-1,0)</f>
        <v>272.89999999999998</v>
      </c>
      <c r="K35" s="86">
        <f ca="1">369.7*OFFSET(K$113,MATCH($N$1,$C$113:$C$114,0)-1,0)</f>
        <v>369.7</v>
      </c>
      <c r="L35" s="86">
        <f ca="1">307.4*OFFSET(L$113,MATCH($N$1,$C$113:$C$114,0)-1,0)</f>
        <v>307.39999999999998</v>
      </c>
      <c r="M35" s="86">
        <f ca="1">283.7*OFFSET(M$113,MATCH($N$1,$C$113:$C$114,0)-1,0)</f>
        <v>283.7</v>
      </c>
      <c r="N35" s="86">
        <v>495.5</v>
      </c>
      <c r="O35" s="84">
        <f t="shared" ca="1" si="0"/>
        <v>1.5646997929606627</v>
      </c>
      <c r="P35" s="84">
        <f t="shared" ca="1" si="1"/>
        <v>0.81568340051300858</v>
      </c>
    </row>
    <row r="36" spans="1:16" s="78" customFormat="1" ht="18" customHeight="1">
      <c r="A36" s="192"/>
      <c r="B36" s="85" t="s">
        <v>217</v>
      </c>
      <c r="C36" s="86"/>
      <c r="D36" s="86">
        <f ca="1">894.6*OFFSET(D$113,MATCH($N$1,$C$113:$C$114,0)-1,0)</f>
        <v>894.6</v>
      </c>
      <c r="E36" s="86">
        <f ca="1">1010.9*OFFSET(E$113,MATCH($N$1,$C$113:$C$114,0)-1,0)</f>
        <v>1010.9</v>
      </c>
      <c r="F36" s="86">
        <f ca="1">1038.5*OFFSET(F$113,MATCH($N$1,$C$113:$C$114,0)-1,0)</f>
        <v>1038.5</v>
      </c>
      <c r="G36" s="86">
        <f ca="1">1058.6*OFFSET(G$113,MATCH($N$1,$C$113:$C$114,0)-1,0)</f>
        <v>1058.5999999999999</v>
      </c>
      <c r="H36" s="86">
        <f ca="1">1104.8*OFFSET(H$113,MATCH($N$1,$C$113:$C$114,0)-1,0)</f>
        <v>1104.8</v>
      </c>
      <c r="I36" s="86">
        <f ca="1">1244.5*OFFSET(I$113,MATCH($N$1,$C$113:$C$114,0)-1,0)</f>
        <v>1244.5</v>
      </c>
      <c r="J36" s="86">
        <f ca="1">1238*OFFSET(J$113,MATCH($N$1,$C$113:$C$114,0)-1,0)</f>
        <v>1238</v>
      </c>
      <c r="K36" s="86">
        <f ca="1">1649.1*OFFSET(K$113,MATCH($N$1,$C$113:$C$114,0)-1,0)</f>
        <v>1649.1</v>
      </c>
      <c r="L36" s="86">
        <f ca="1">1005.1*OFFSET(L$113,MATCH($N$1,$C$113:$C$114,0)-1,0)</f>
        <v>1005.1</v>
      </c>
      <c r="M36" s="86">
        <f ca="1">1006.2*OFFSET(M$113,MATCH($N$1,$C$113:$C$114,0)-1,0)</f>
        <v>1006.2</v>
      </c>
      <c r="N36" s="86">
        <v>1764.6000000000001</v>
      </c>
      <c r="O36" s="84">
        <f t="shared" ca="1" si="0"/>
        <v>0.97250167672702892</v>
      </c>
      <c r="P36" s="84">
        <f t="shared" ca="1" si="1"/>
        <v>0.42536348949919234</v>
      </c>
    </row>
    <row r="37" spans="1:16" s="78" customFormat="1" ht="18" customHeight="1">
      <c r="A37" s="192"/>
      <c r="B37" s="87" t="s">
        <v>218</v>
      </c>
      <c r="C37" s="88"/>
      <c r="D37" s="88">
        <f ca="1">428.8*OFFSET(D$113,MATCH($N$1,$C$113:$C$114,0)-1,0)</f>
        <v>428.8</v>
      </c>
      <c r="E37" s="88">
        <f ca="1">540.9*OFFSET(E$113,MATCH($N$1,$C$113:$C$114,0)-1,0)</f>
        <v>540.9</v>
      </c>
      <c r="F37" s="88">
        <f ca="1">658.1*OFFSET(F$113,MATCH($N$1,$C$113:$C$114,0)-1,0)</f>
        <v>658.1</v>
      </c>
      <c r="G37" s="88">
        <f ca="1">599.8*OFFSET(G$113,MATCH($N$1,$C$113:$C$114,0)-1,0)</f>
        <v>599.79999999999995</v>
      </c>
      <c r="H37" s="88">
        <f ca="1">665.4*OFFSET(H$113,MATCH($N$1,$C$113:$C$114,0)-1,0)</f>
        <v>665.4</v>
      </c>
      <c r="I37" s="88">
        <f ca="1">856.7*OFFSET(I$113,MATCH($N$1,$C$113:$C$114,0)-1,0)</f>
        <v>856.7</v>
      </c>
      <c r="J37" s="88">
        <f ca="1">915.4*OFFSET(J$113,MATCH($N$1,$C$113:$C$114,0)-1,0)</f>
        <v>915.4</v>
      </c>
      <c r="K37" s="88">
        <f ca="1">786.1*OFFSET(K$113,MATCH($N$1,$C$113:$C$114,0)-1,0)</f>
        <v>786.1</v>
      </c>
      <c r="L37" s="88">
        <f ca="1">492.8*OFFSET(L$113,MATCH($N$1,$C$113:$C$114,0)-1,0)</f>
        <v>492.8</v>
      </c>
      <c r="M37" s="88">
        <f ca="1">350*OFFSET(M$113,MATCH($N$1,$C$113:$C$114,0)-1,0)</f>
        <v>350</v>
      </c>
      <c r="N37" s="88">
        <v>597.79999999999995</v>
      </c>
      <c r="O37" s="84">
        <f t="shared" ca="1" si="0"/>
        <v>0.39412313432835805</v>
      </c>
      <c r="P37" s="84">
        <f t="shared" ca="1" si="1"/>
        <v>-0.34695215206467123</v>
      </c>
    </row>
    <row r="38" spans="1:16" s="78" customFormat="1" ht="18" customHeight="1">
      <c r="A38" s="192"/>
      <c r="B38" s="87" t="s">
        <v>219</v>
      </c>
      <c r="C38" s="88"/>
      <c r="D38" s="88">
        <f ca="1">203.7*OFFSET(D$113,MATCH($N$1,$C$113:$C$114,0)-1,0)</f>
        <v>203.7</v>
      </c>
      <c r="E38" s="88">
        <f ca="1">215*OFFSET(E$113,MATCH($N$1,$C$113:$C$114,0)-1,0)</f>
        <v>215</v>
      </c>
      <c r="F38" s="88">
        <f ca="1">325.5*OFFSET(F$113,MATCH($N$1,$C$113:$C$114,0)-1,0)</f>
        <v>325.5</v>
      </c>
      <c r="G38" s="88">
        <f ca="1">294.6*OFFSET(G$113,MATCH($N$1,$C$113:$C$114,0)-1,0)</f>
        <v>294.60000000000002</v>
      </c>
      <c r="H38" s="88">
        <f ca="1">313.1*OFFSET(H$113,MATCH($N$1,$C$113:$C$114,0)-1,0)</f>
        <v>313.10000000000002</v>
      </c>
      <c r="I38" s="88">
        <f ca="1">425.9*OFFSET(I$113,MATCH($N$1,$C$113:$C$114,0)-1,0)</f>
        <v>425.9</v>
      </c>
      <c r="J38" s="88">
        <f ca="1">447*OFFSET(J$113,MATCH($N$1,$C$113:$C$114,0)-1,0)</f>
        <v>447</v>
      </c>
      <c r="K38" s="88">
        <f ca="1">297.8*OFFSET(K$113,MATCH($N$1,$C$113:$C$114,0)-1,0)</f>
        <v>297.8</v>
      </c>
      <c r="L38" s="88">
        <f ca="1">194.3*OFFSET(L$113,MATCH($N$1,$C$113:$C$114,0)-1,0)</f>
        <v>194.3</v>
      </c>
      <c r="M38" s="88">
        <f ca="1">82*OFFSET(M$113,MATCH($N$1,$C$113:$C$114,0)-1,0)</f>
        <v>82</v>
      </c>
      <c r="N38" s="88">
        <v>135.69999999999999</v>
      </c>
      <c r="O38" s="84">
        <f t="shared" ca="1" si="0"/>
        <v>-0.33382425135002458</v>
      </c>
      <c r="P38" s="84">
        <f t="shared" ca="1" si="1"/>
        <v>-0.69642058165548104</v>
      </c>
    </row>
    <row r="39" spans="1:16" s="78" customFormat="1" ht="18" customHeight="1">
      <c r="A39" s="192"/>
      <c r="B39" s="85" t="s">
        <v>220</v>
      </c>
      <c r="C39" s="86"/>
      <c r="D39" s="86">
        <f ca="1">70.6*OFFSET(D$113,MATCH($N$1,$C$113:$C$114,0)-1,0)</f>
        <v>70.599999999999994</v>
      </c>
      <c r="E39" s="86">
        <f ca="1">50.8*OFFSET(E$113,MATCH($N$1,$C$113:$C$114,0)-1,0)</f>
        <v>50.8</v>
      </c>
      <c r="F39" s="86">
        <f ca="1">80.7*OFFSET(F$113,MATCH($N$1,$C$113:$C$114,0)-1,0)</f>
        <v>80.7</v>
      </c>
      <c r="G39" s="86">
        <f ca="1">99.9*OFFSET(G$113,MATCH($N$1,$C$113:$C$114,0)-1,0)</f>
        <v>99.9</v>
      </c>
      <c r="H39" s="86">
        <f ca="1">97.7*OFFSET(H$113,MATCH($N$1,$C$113:$C$114,0)-1,0)</f>
        <v>97.7</v>
      </c>
      <c r="I39" s="86">
        <f ca="1">72.7*OFFSET(I$113,MATCH($N$1,$C$113:$C$114,0)-1,0)</f>
        <v>72.7</v>
      </c>
      <c r="J39" s="86">
        <f ca="1">72.5*OFFSET(J$113,MATCH($N$1,$C$113:$C$114,0)-1,0)</f>
        <v>72.5</v>
      </c>
      <c r="K39" s="86">
        <f ca="1">93.2*OFFSET(K$113,MATCH($N$1,$C$113:$C$114,0)-1,0)</f>
        <v>93.2</v>
      </c>
      <c r="L39" s="86">
        <f ca="1">111.1*OFFSET(L$113,MATCH($N$1,$C$113:$C$114,0)-1,0)</f>
        <v>111.1</v>
      </c>
      <c r="M39" s="86">
        <f ca="1">97.4*OFFSET(M$113,MATCH($N$1,$C$113:$C$114,0)-1,0)</f>
        <v>97.4</v>
      </c>
      <c r="N39" s="86"/>
      <c r="O39" s="84" t="str">
        <f t="shared" si="0"/>
        <v/>
      </c>
      <c r="P39" s="84" t="str">
        <f t="shared" si="1"/>
        <v/>
      </c>
    </row>
    <row r="40" spans="1:16" s="78" customFormat="1" ht="18" customHeight="1">
      <c r="A40" s="192"/>
      <c r="B40" s="85" t="s">
        <v>221</v>
      </c>
      <c r="C40" s="86"/>
      <c r="D40" s="86">
        <f ca="1">24.4*OFFSET(D$113,MATCH($N$1,$C$113:$C$114,0)-1,0)</f>
        <v>24.4</v>
      </c>
      <c r="E40" s="86">
        <f ca="1">13*OFFSET(E$113,MATCH($N$1,$C$113:$C$114,0)-1,0)</f>
        <v>13</v>
      </c>
      <c r="F40" s="86">
        <f ca="1">15.2*OFFSET(F$113,MATCH($N$1,$C$113:$C$114,0)-1,0)</f>
        <v>15.2</v>
      </c>
      <c r="G40" s="86">
        <f ca="1">12.5*OFFSET(G$113,MATCH($N$1,$C$113:$C$114,0)-1,0)</f>
        <v>12.5</v>
      </c>
      <c r="H40" s="86">
        <f ca="1">6.3*OFFSET(H$113,MATCH($N$1,$C$113:$C$114,0)-1,0)</f>
        <v>6.3</v>
      </c>
      <c r="I40" s="86">
        <f ca="1">19.7*OFFSET(I$113,MATCH($N$1,$C$113:$C$114,0)-1,0)</f>
        <v>19.7</v>
      </c>
      <c r="J40" s="86">
        <f ca="1">9.4*OFFSET(J$113,MATCH($N$1,$C$113:$C$114,0)-1,0)</f>
        <v>9.4</v>
      </c>
      <c r="K40" s="86">
        <f ca="1">34.7*OFFSET(K$113,MATCH($N$1,$C$113:$C$114,0)-1,0)</f>
        <v>34.700000000000003</v>
      </c>
      <c r="L40" s="86">
        <f ca="1">31.8*OFFSET(L$113,MATCH($N$1,$C$113:$C$114,0)-1,0)</f>
        <v>31.8</v>
      </c>
      <c r="M40" s="86">
        <f ca="1">36.3*OFFSET(M$113,MATCH($N$1,$C$113:$C$114,0)-1,0)</f>
        <v>36.299999999999997</v>
      </c>
      <c r="N40" s="86"/>
      <c r="O40" s="84" t="str">
        <f t="shared" si="0"/>
        <v/>
      </c>
      <c r="P40" s="84" t="str">
        <f t="shared" si="1"/>
        <v/>
      </c>
    </row>
    <row r="41" spans="1:16" s="78" customFormat="1" ht="18" customHeight="1">
      <c r="A41" s="192"/>
      <c r="B41" s="85" t="s">
        <v>222</v>
      </c>
      <c r="C41" s="86"/>
      <c r="D41" s="86">
        <f ca="1">10.1*OFFSET(D$113,MATCH($N$1,$C$113:$C$114,0)-1,0)</f>
        <v>10.1</v>
      </c>
      <c r="E41" s="86">
        <f ca="1">8.4*OFFSET(E$113,MATCH($N$1,$C$113:$C$114,0)-1,0)</f>
        <v>8.4</v>
      </c>
      <c r="F41" s="86">
        <f ca="1">3.8*OFFSET(F$113,MATCH($N$1,$C$113:$C$114,0)-1,0)</f>
        <v>3.8</v>
      </c>
      <c r="G41" s="86">
        <f ca="1">3.4*OFFSET(G$113,MATCH($N$1,$C$113:$C$114,0)-1,0)</f>
        <v>3.4</v>
      </c>
      <c r="H41" s="86">
        <f ca="1">8.6*OFFSET(H$113,MATCH($N$1,$C$113:$C$114,0)-1,0)</f>
        <v>8.6</v>
      </c>
      <c r="I41" s="86">
        <f ca="1">8.2*OFFSET(I$113,MATCH($N$1,$C$113:$C$114,0)-1,0)</f>
        <v>8.1999999999999993</v>
      </c>
      <c r="J41" s="86">
        <f ca="1">29.5*OFFSET(J$113,MATCH($N$1,$C$113:$C$114,0)-1,0)</f>
        <v>29.5</v>
      </c>
      <c r="K41" s="86">
        <f ca="1">1.6*OFFSET(K$113,MATCH($N$1,$C$113:$C$114,0)-1,0)</f>
        <v>1.6</v>
      </c>
      <c r="L41" s="86">
        <f ca="1">3.5*OFFSET(L$113,MATCH($N$1,$C$113:$C$114,0)-1,0)</f>
        <v>3.5</v>
      </c>
      <c r="M41" s="86">
        <f ca="1">3.8*OFFSET(M$113,MATCH($N$1,$C$113:$C$114,0)-1,0)</f>
        <v>3.8</v>
      </c>
      <c r="N41" s="86"/>
      <c r="O41" s="84" t="str">
        <f t="shared" si="0"/>
        <v/>
      </c>
      <c r="P41" s="84" t="str">
        <f t="shared" si="1"/>
        <v/>
      </c>
    </row>
    <row r="42" spans="1:16" s="78" customFormat="1" ht="18" customHeight="1" thickBot="1">
      <c r="A42" s="193"/>
      <c r="B42" s="89" t="s">
        <v>223</v>
      </c>
      <c r="C42" s="90"/>
      <c r="D42" s="90">
        <f ca="1">98.6*OFFSET(D$113,MATCH($N$1,$C$113:$C$114,0)-1,0)</f>
        <v>98.6</v>
      </c>
      <c r="E42" s="90">
        <f ca="1">142.8*OFFSET(E$113,MATCH($N$1,$C$113:$C$114,0)-1,0)</f>
        <v>142.80000000000001</v>
      </c>
      <c r="F42" s="90">
        <f ca="1">225.7*OFFSET(F$113,MATCH($N$1,$C$113:$C$114,0)-1,0)</f>
        <v>225.7</v>
      </c>
      <c r="G42" s="90">
        <f ca="1">178.8*OFFSET(G$113,MATCH($N$1,$C$113:$C$114,0)-1,0)</f>
        <v>178.8</v>
      </c>
      <c r="H42" s="90">
        <f ca="1">200.5*OFFSET(H$113,MATCH($N$1,$C$113:$C$114,0)-1,0)</f>
        <v>200.5</v>
      </c>
      <c r="I42" s="90">
        <f ca="1">325.4*OFFSET(I$113,MATCH($N$1,$C$113:$C$114,0)-1,0)</f>
        <v>325.39999999999998</v>
      </c>
      <c r="J42" s="90">
        <f ca="1">335.7*OFFSET(J$113,MATCH($N$1,$C$113:$C$114,0)-1,0)</f>
        <v>335.7</v>
      </c>
      <c r="K42" s="90">
        <f ca="1">168.3*OFFSET(K$113,MATCH($N$1,$C$113:$C$114,0)-1,0)</f>
        <v>168.3</v>
      </c>
      <c r="L42" s="90">
        <f ca="1">47.9*OFFSET(L$113,MATCH($N$1,$C$113:$C$114,0)-1,0)</f>
        <v>47.9</v>
      </c>
      <c r="M42" s="90">
        <f ca="1">-55.6*OFFSET(M$113,MATCH($N$1,$C$113:$C$114,0)-1,0)</f>
        <v>-55.6</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157</v>
      </c>
      <c r="F47" s="99" t="s">
        <v>157</v>
      </c>
      <c r="G47" s="99" t="s">
        <v>157</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NSWOS demersal seiners</v>
      </c>
      <c r="C49" s="101"/>
      <c r="D49" s="101"/>
      <c r="E49" s="101"/>
      <c r="F49" s="101"/>
      <c r="G49" s="101"/>
      <c r="K49" s="101" t="str">
        <f>$B25&amp;CHAR(10)&amp;$A$1</f>
        <v>Operating profit per kW day at sea (£)
NSWOS demersal seiners</v>
      </c>
    </row>
    <row r="50" spans="1:11" s="78" customFormat="1">
      <c r="A50" s="101" t="str">
        <f>$B23&amp;CHAR(10)&amp;$A$1</f>
        <v>Fishing income per kW day at sea (£)
NSWOS demersal seiners</v>
      </c>
    </row>
    <row r="51" spans="1:11" s="78" customFormat="1">
      <c r="A51" s="101" t="str">
        <f>$B21&amp;CHAR(10)&amp;$A$1</f>
        <v>Average price per tonne landed (£)
NSWOS demersal seiners</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NSWOS demersal seiners</v>
      </c>
      <c r="F63" s="101" t="str">
        <f>$B21&amp;CHAR(10)&amp;$A$1</f>
        <v>Average price per tonne landed (£)
NSWOS demersal seiners</v>
      </c>
      <c r="K63" s="101" t="str">
        <f>"Average annual operating profit per vessel (£'000)"&amp;CHAR(10)&amp;$A$1</f>
        <v>Average annual operating profit per vessel (£'000)
NSWOS demersal seiners</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NSWOS demersal seiners</v>
      </c>
      <c r="F77" s="101" t="str">
        <f>"Top 5 landed species by value in "&amp;A78&amp;CHAR(10)&amp;A1</f>
        <v>Top 5 landed species by value in 2021
NSWOS demersal seiners</v>
      </c>
    </row>
    <row r="78" spans="1:11" s="101" customFormat="1">
      <c r="A78" s="101">
        <v>2021</v>
      </c>
      <c r="B78" s="101" t="s">
        <v>474</v>
      </c>
      <c r="C78" s="102">
        <v>0.23072683572755101</v>
      </c>
      <c r="D78" s="103">
        <v>12153634</v>
      </c>
      <c r="G78" s="101" t="s">
        <v>475</v>
      </c>
      <c r="H78" s="102">
        <v>0.2060838361723917</v>
      </c>
      <c r="I78" s="103">
        <v>12153634</v>
      </c>
      <c r="K78" s="101" t="s">
        <v>237</v>
      </c>
    </row>
    <row r="79" spans="1:11" s="101" customFormat="1">
      <c r="B79" s="101" t="s">
        <v>476</v>
      </c>
      <c r="C79" s="102">
        <v>0.20015966800092172</v>
      </c>
      <c r="D79" s="103">
        <v>553960</v>
      </c>
      <c r="G79" s="101" t="s">
        <v>477</v>
      </c>
      <c r="H79" s="102">
        <v>0.17362107138054342</v>
      </c>
      <c r="I79" s="103">
        <v>553960</v>
      </c>
    </row>
    <row r="80" spans="1:11" s="101" customFormat="1">
      <c r="B80" s="101" t="s">
        <v>478</v>
      </c>
      <c r="C80" s="102">
        <v>0.1415365271627804</v>
      </c>
      <c r="D80" s="103">
        <v>1692097</v>
      </c>
      <c r="G80" s="101" t="s">
        <v>479</v>
      </c>
      <c r="H80" s="102">
        <v>0.14814913453094775</v>
      </c>
      <c r="I80" s="103">
        <v>3050596</v>
      </c>
    </row>
    <row r="81" spans="1:19" s="101" customFormat="1">
      <c r="B81" s="101" t="s">
        <v>480</v>
      </c>
      <c r="C81" s="102">
        <v>6.6597209194180995E-2</v>
      </c>
      <c r="D81" s="103">
        <v>3050596</v>
      </c>
      <c r="G81" s="101" t="s">
        <v>481</v>
      </c>
      <c r="H81" s="102">
        <v>8.8039976832122002E-2</v>
      </c>
      <c r="I81" s="103">
        <v>1692097</v>
      </c>
    </row>
    <row r="82" spans="1:19" s="101" customFormat="1">
      <c r="B82" s="115">
        <v>-5.6000000000000001E-2</v>
      </c>
      <c r="C82" s="102">
        <v>5.6420291667495952E-2</v>
      </c>
      <c r="D82" s="103">
        <v>3689192</v>
      </c>
      <c r="G82" s="101" t="s">
        <v>482</v>
      </c>
      <c r="H82" s="102">
        <v>6.887668272467988E-2</v>
      </c>
      <c r="I82" s="103">
        <v>3689192</v>
      </c>
    </row>
    <row r="83" spans="1:19" s="101" customFormat="1">
      <c r="B83" s="101" t="s">
        <v>483</v>
      </c>
      <c r="C83" s="102">
        <v>0.30455946824706992</v>
      </c>
      <c r="D83" s="103">
        <v>5920853</v>
      </c>
      <c r="G83" s="101" t="s">
        <v>484</v>
      </c>
      <c r="H83" s="102">
        <v>0.31522929835931524</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172</v>
      </c>
      <c r="D93" s="107">
        <v>0.11575033247992132</v>
      </c>
      <c r="E93" s="107">
        <v>0.11159738637316681</v>
      </c>
      <c r="F93" s="107">
        <v>0.13706851638502218</v>
      </c>
      <c r="G93" s="107">
        <v>0.1305276876263797</v>
      </c>
      <c r="H93" s="107">
        <v>0.1149062691302306</v>
      </c>
      <c r="I93" s="107">
        <v>0.14755315363338437</v>
      </c>
      <c r="J93" s="107">
        <v>0.14871565047589705</v>
      </c>
      <c r="K93" s="107">
        <v>0.15996565037644744</v>
      </c>
      <c r="L93" s="107">
        <v>0.2060838361723917</v>
      </c>
      <c r="M93" s="107">
        <v>0.11168019013347523</v>
      </c>
      <c r="O93" s="101">
        <v>12153634</v>
      </c>
    </row>
    <row r="94" spans="1:19" s="101" customFormat="1" hidden="1">
      <c r="B94" s="101">
        <v>2</v>
      </c>
      <c r="C94" s="101" t="s">
        <v>156</v>
      </c>
      <c r="D94" s="107">
        <v>0.33757213383115148</v>
      </c>
      <c r="E94" s="107">
        <v>0.36537246228181097</v>
      </c>
      <c r="F94" s="107">
        <v>0.37030308508093396</v>
      </c>
      <c r="G94" s="107">
        <v>0.28414273859013539</v>
      </c>
      <c r="H94" s="107">
        <v>0.25175957726650189</v>
      </c>
      <c r="I94" s="107">
        <v>0.30772383390297231</v>
      </c>
      <c r="J94" s="107">
        <v>0.24501059630773842</v>
      </c>
      <c r="K94" s="107">
        <v>0.20169848373187857</v>
      </c>
      <c r="L94" s="107">
        <v>0.17362107138054342</v>
      </c>
      <c r="M94" s="107">
        <v>0.12441924299830877</v>
      </c>
      <c r="O94" s="101">
        <v>553960</v>
      </c>
    </row>
    <row r="95" spans="1:19" s="101" customFormat="1" hidden="1">
      <c r="B95" s="101">
        <v>3</v>
      </c>
      <c r="C95" s="101" t="s">
        <v>168</v>
      </c>
      <c r="D95" s="107">
        <v>0.17013011637707243</v>
      </c>
      <c r="E95" s="107">
        <v>0.14226071779572208</v>
      </c>
      <c r="F95" s="107">
        <v>0.21145673080378574</v>
      </c>
      <c r="G95" s="107">
        <v>0.24472156529666844</v>
      </c>
      <c r="H95" s="107">
        <v>0.20325954892461084</v>
      </c>
      <c r="I95" s="107">
        <v>0.27120520210068022</v>
      </c>
      <c r="J95" s="107">
        <v>0.23114419305681619</v>
      </c>
      <c r="K95" s="107">
        <v>0.13494897276514362</v>
      </c>
      <c r="L95" s="107">
        <v>0.14814913453094775</v>
      </c>
      <c r="M95" s="107">
        <v>0.10482684599394267</v>
      </c>
      <c r="O95" s="101">
        <v>3050596</v>
      </c>
    </row>
    <row r="96" spans="1:19" s="101" customFormat="1" hidden="1">
      <c r="B96" s="101">
        <v>4</v>
      </c>
      <c r="C96" s="101" t="s">
        <v>169</v>
      </c>
      <c r="D96" s="107">
        <v>0.13379116124589549</v>
      </c>
      <c r="E96" s="107">
        <v>0.10885742833971571</v>
      </c>
      <c r="F96" s="107">
        <v>6.0072866403013021E-2</v>
      </c>
      <c r="G96" s="107">
        <v>5.4075980328040389E-2</v>
      </c>
      <c r="H96" s="107">
        <v>0.10311766915589114</v>
      </c>
      <c r="I96" s="107"/>
      <c r="J96" s="107">
        <v>4.6970153386238542E-2</v>
      </c>
      <c r="K96" s="107"/>
      <c r="L96" s="107">
        <v>8.8039976832122002E-2</v>
      </c>
      <c r="M96" s="107">
        <v>0.13463876011437959</v>
      </c>
      <c r="O96" s="101">
        <v>1692097</v>
      </c>
    </row>
    <row r="97" spans="1:15" s="101" customFormat="1" hidden="1">
      <c r="B97" s="101">
        <v>5</v>
      </c>
      <c r="C97" s="101" t="s">
        <v>165</v>
      </c>
      <c r="D97" s="107"/>
      <c r="E97" s="107"/>
      <c r="F97" s="107"/>
      <c r="G97" s="107"/>
      <c r="H97" s="107"/>
      <c r="I97" s="107">
        <v>9.0871244730008238E-2</v>
      </c>
      <c r="J97" s="107">
        <v>9.8433443113024502E-2</v>
      </c>
      <c r="K97" s="107"/>
      <c r="L97" s="107">
        <v>6.887668272467988E-2</v>
      </c>
      <c r="M97" s="107"/>
      <c r="O97" s="101">
        <v>3689192</v>
      </c>
    </row>
    <row r="98" spans="1:15" s="101" customFormat="1" hidden="1">
      <c r="B98" s="101">
        <v>6</v>
      </c>
      <c r="C98" s="101" t="s">
        <v>181</v>
      </c>
      <c r="D98" s="107"/>
      <c r="E98" s="107">
        <v>6.2816203319949748E-2</v>
      </c>
      <c r="F98" s="107">
        <v>3.3581266061603665E-2</v>
      </c>
      <c r="G98" s="107"/>
      <c r="H98" s="107">
        <v>7.1811544896830712E-2</v>
      </c>
      <c r="I98" s="107"/>
      <c r="J98" s="107"/>
      <c r="K98" s="107"/>
      <c r="L98" s="107"/>
      <c r="M98" s="107">
        <v>0.18490317573086162</v>
      </c>
      <c r="O98" s="101">
        <v>11115023</v>
      </c>
    </row>
    <row r="99" spans="1:15" s="101" customFormat="1" hidden="1">
      <c r="B99" s="101">
        <v>7</v>
      </c>
      <c r="C99" s="101" t="s">
        <v>181</v>
      </c>
      <c r="D99" s="107">
        <v>3.6310815532958944E-2</v>
      </c>
      <c r="E99" s="107"/>
      <c r="F99" s="107"/>
      <c r="G99" s="107"/>
      <c r="H99" s="107"/>
      <c r="I99" s="107"/>
      <c r="J99" s="107"/>
      <c r="K99" s="107">
        <v>8.7671083446095824E-2</v>
      </c>
      <c r="L99" s="107"/>
      <c r="M99" s="107"/>
      <c r="O99" s="101">
        <v>2480382</v>
      </c>
    </row>
    <row r="100" spans="1:15" s="101" customFormat="1" hidden="1">
      <c r="B100" s="101">
        <v>8</v>
      </c>
      <c r="C100" s="101" t="s">
        <v>161</v>
      </c>
      <c r="D100" s="107"/>
      <c r="E100" s="107"/>
      <c r="F100" s="107"/>
      <c r="G100" s="107">
        <v>4.6557852336740937E-2</v>
      </c>
      <c r="H100" s="107"/>
      <c r="I100" s="107">
        <v>3.9365104364128045E-2</v>
      </c>
      <c r="J100" s="107"/>
      <c r="K100" s="107"/>
      <c r="L100" s="107"/>
      <c r="M100" s="107"/>
      <c r="O100" s="101">
        <v>7434864</v>
      </c>
    </row>
    <row r="101" spans="1:15" s="101" customFormat="1" hidden="1">
      <c r="B101" s="101">
        <v>9</v>
      </c>
      <c r="C101" s="101" t="s">
        <v>251</v>
      </c>
      <c r="D101" s="107">
        <v>0.20644544053300032</v>
      </c>
      <c r="E101" s="107">
        <v>0.20909580188963464</v>
      </c>
      <c r="F101" s="107">
        <v>0.18751753526564144</v>
      </c>
      <c r="G101" s="107">
        <v>0.23997417582203512</v>
      </c>
      <c r="H101" s="107">
        <v>0.25514539062593483</v>
      </c>
      <c r="I101" s="107">
        <v>0.14328146126882682</v>
      </c>
      <c r="J101" s="107">
        <v>0.22972596366028528</v>
      </c>
      <c r="K101" s="107">
        <v>0.34443707175378269</v>
      </c>
      <c r="L101" s="107">
        <v>0.31522929835931524</v>
      </c>
      <c r="M101" s="107">
        <v>0.33953178502903214</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5</v>
      </c>
      <c r="D121" s="52">
        <v>11</v>
      </c>
      <c r="E121" s="52">
        <v>5</v>
      </c>
      <c r="F121" s="53">
        <v>21</v>
      </c>
    </row>
    <row r="122" spans="1:15" ht="18" customHeight="1">
      <c r="A122" s="186" t="s">
        <v>198</v>
      </c>
      <c r="B122" s="35" t="s">
        <v>199</v>
      </c>
      <c r="C122" s="54">
        <v>26.538000106811523</v>
      </c>
      <c r="D122" s="54">
        <v>29.045455412431195</v>
      </c>
      <c r="E122" s="54">
        <v>30.398000717163086</v>
      </c>
      <c r="F122" s="55">
        <v>28.770475387573242</v>
      </c>
    </row>
    <row r="123" spans="1:15" ht="18" customHeight="1">
      <c r="A123" s="187"/>
      <c r="B123" s="37" t="s">
        <v>190</v>
      </c>
      <c r="C123" s="56">
        <v>580.79998779296875</v>
      </c>
      <c r="D123" s="56">
        <v>792.81818736683238</v>
      </c>
      <c r="E123" s="56">
        <v>1040.4000244140625</v>
      </c>
      <c r="F123" s="57">
        <v>801.28570556640625</v>
      </c>
    </row>
    <row r="124" spans="1:15" ht="18" customHeight="1">
      <c r="A124" s="187"/>
      <c r="B124" s="37" t="s">
        <v>191</v>
      </c>
      <c r="C124" s="56">
        <v>276.60000610351563</v>
      </c>
      <c r="D124" s="56">
        <v>335.54545731977981</v>
      </c>
      <c r="E124" s="56">
        <v>388.39999389648438</v>
      </c>
      <c r="F124" s="57">
        <v>334.09524536132813</v>
      </c>
    </row>
    <row r="125" spans="1:15" ht="18" customHeight="1">
      <c r="A125" s="187"/>
      <c r="B125" s="37" t="s">
        <v>192</v>
      </c>
      <c r="C125" s="56">
        <v>465.82070922851563</v>
      </c>
      <c r="D125" s="56">
        <v>608.47214299982249</v>
      </c>
      <c r="E125" s="56">
        <v>744.892822265625</v>
      </c>
      <c r="F125" s="57">
        <v>606.9886474609375</v>
      </c>
    </row>
    <row r="126" spans="1:15" ht="18" customHeight="1">
      <c r="A126" s="187"/>
      <c r="B126" s="37" t="s">
        <v>193</v>
      </c>
      <c r="C126" s="33">
        <v>843.294921875</v>
      </c>
      <c r="D126" s="33">
        <v>671.30027077414775</v>
      </c>
      <c r="E126" s="33">
        <v>398.1314697265625</v>
      </c>
      <c r="F126" s="58">
        <v>647.211181640625</v>
      </c>
    </row>
    <row r="127" spans="1:15" ht="18" customHeight="1">
      <c r="A127" s="187"/>
      <c r="B127" s="37" t="s">
        <v>200</v>
      </c>
      <c r="C127" s="33">
        <f ca="1">1805.596375*OFFSET($L$113,MATCH($N$1,$C$113:$C$114,0)-1,0)</f>
        <v>1805.5963750000001</v>
      </c>
      <c r="D127" s="33">
        <f ca="1">977.268909090909*OFFSET($L$113,MATCH($N$1,$C$113:$C$114,0)-1,0)</f>
        <v>977.26890909090901</v>
      </c>
      <c r="E127" s="33">
        <f ca="1">473.74675*OFFSET($L$113,MATCH($N$1,$C$113:$C$114,0)-1,0)</f>
        <v>473.74675000000002</v>
      </c>
      <c r="F127" s="58">
        <f ca="1">1054.6035*OFFSET($L$113,MATCH($N$1,$C$113:$C$114,0)-1,0)</f>
        <v>1054.6034999999999</v>
      </c>
    </row>
    <row r="128" spans="1:15" ht="18" customHeight="1">
      <c r="A128" s="187"/>
      <c r="B128" s="37" t="s">
        <v>195</v>
      </c>
      <c r="C128" s="56">
        <v>166</v>
      </c>
      <c r="D128" s="56">
        <v>207.45454684170809</v>
      </c>
      <c r="E128" s="56">
        <v>222.60000610351563</v>
      </c>
      <c r="F128" s="57">
        <v>201.19047546386719</v>
      </c>
    </row>
    <row r="129" spans="1:15" ht="18" customHeight="1">
      <c r="A129" s="187"/>
      <c r="B129" s="37" t="s">
        <v>201</v>
      </c>
      <c r="C129" s="56">
        <v>6.5999999046325684</v>
      </c>
      <c r="D129" s="56">
        <v>12.636363809758967</v>
      </c>
      <c r="E129" s="56">
        <v>2.2000000476837158</v>
      </c>
      <c r="F129" s="57">
        <v>8.7142858505249023</v>
      </c>
    </row>
    <row r="130" spans="1:15" ht="18" customHeight="1">
      <c r="A130" s="187"/>
      <c r="B130" s="37" t="s">
        <v>202</v>
      </c>
      <c r="C130" s="59">
        <v>5.0800900459289551</v>
      </c>
      <c r="D130" s="59">
        <v>3.235890854136656</v>
      </c>
      <c r="E130" s="59">
        <v>1.7885509729385376</v>
      </c>
      <c r="F130" s="60">
        <v>3.2169077396392822</v>
      </c>
    </row>
    <row r="131" spans="1:15" ht="18" customHeight="1">
      <c r="A131" s="188"/>
      <c r="B131" s="39" t="s">
        <v>203</v>
      </c>
      <c r="C131" s="40">
        <f ca="1">2141.12089159199*OFFSET($L$113,MATCH($N$1,$C$113:$C$114,0)-1,0)</f>
        <v>2141.1208915919901</v>
      </c>
      <c r="D131" s="40">
        <f ca="1">1455.78506614323*OFFSET($L$113,MATCH($N$1,$C$113:$C$114,0)-1,0)</f>
        <v>1455.7850661432301</v>
      </c>
      <c r="E131" s="40">
        <f ca="1">1189.92540410174*OFFSET($L$113,MATCH($N$1,$C$113:$C$114,0)-1,0)</f>
        <v>1189.92540410174</v>
      </c>
      <c r="F131" s="61">
        <f ca="1">1629*OFFSET($L$113,MATCH($N$1,$C$113:$C$114,0)-1,0)</f>
        <v>1629</v>
      </c>
    </row>
    <row r="132" spans="1:15" ht="18" customHeight="1">
      <c r="A132" s="198" t="s">
        <v>204</v>
      </c>
      <c r="B132" s="35" t="s">
        <v>205</v>
      </c>
      <c r="C132" s="62">
        <v>8.7427577178451497</v>
      </c>
      <c r="D132" s="62">
        <v>3.9891239065370048</v>
      </c>
      <c r="E132" s="62">
        <v>1.7304045102858245</v>
      </c>
      <c r="F132" s="63">
        <v>3.9013346583132309</v>
      </c>
    </row>
    <row r="133" spans="1:15" ht="18" customHeight="1">
      <c r="A133" s="199"/>
      <c r="B133" s="37" t="s">
        <v>206</v>
      </c>
      <c r="C133" s="59">
        <f ca="1">18.7193011998054*OFFSET($L$113,MATCH($N$1,$C$113:$C$114,0)-1,0)</f>
        <v>18.7193011998054</v>
      </c>
      <c r="D133" s="59">
        <f ca="1">5.8073070101315*OFFSET($L$113,MATCH($N$1,$C$113:$C$114,0)-1,0)</f>
        <v>5.8073070101314999</v>
      </c>
      <c r="E133" s="59">
        <f ca="1">2.05905228616134*OFFSET($L$113,MATCH($N$1,$C$113:$C$114,0)-1,0)</f>
        <v>2.0590522861613398</v>
      </c>
      <c r="F133" s="60">
        <f ca="1">6.35706134572472*OFFSET($L$113,MATCH($N$1,$C$113:$C$114,0)-1,0)</f>
        <v>6.3570613457247198</v>
      </c>
    </row>
    <row r="134" spans="1:15" ht="18" customHeight="1">
      <c r="A134" s="199"/>
      <c r="B134" s="37" t="s">
        <v>153</v>
      </c>
      <c r="C134" s="59">
        <f ca="1">15.782085153598*OFFSET($L$113,MATCH($N$1,$C$113:$C$114,0)-1,0)</f>
        <v>15.782085153598</v>
      </c>
      <c r="D134" s="59">
        <f ca="1">5.45638959173569*OFFSET($L$113,MATCH($N$1,$C$113:$C$114,0)-1,0)</f>
        <v>5.4563895917356904</v>
      </c>
      <c r="E134" s="59">
        <f ca="1">2.35900298265821*OFFSET($L$113,MATCH($N$1,$C$113:$C$114,0)-1,0)</f>
        <v>2.3590029826582102</v>
      </c>
      <c r="F134" s="60">
        <f ca="1">5.86303364481334*OFFSET($L$113,MATCH($N$1,$C$113:$C$114,0)-1,0)</f>
        <v>5.8630336448133402</v>
      </c>
    </row>
    <row r="135" spans="1:15" ht="18" customHeight="1">
      <c r="A135" s="200"/>
      <c r="B135" s="39" t="s">
        <v>154</v>
      </c>
      <c r="C135" s="64">
        <f ca="1">2.93721604620741*OFFSET($L$113,MATCH($N$1,$C$113:$C$114,0)-1,0)</f>
        <v>2.9372160462074102</v>
      </c>
      <c r="D135" s="64">
        <f ca="1">0.350917418395813*OFFSET($L$113,MATCH($N$1,$C$113:$C$114,0)-1,0)</f>
        <v>0.35091741839581297</v>
      </c>
      <c r="E135" s="64">
        <f ca="1">-0.299950696496871*OFFSET($L$113,MATCH($N$1,$C$113:$C$114,0)-1,0)</f>
        <v>-0.29995069649687101</v>
      </c>
      <c r="F135" s="65">
        <f ca="1">0.494027700911383*OFFSET($L$113,MATCH($N$1,$C$113:$C$114,0)-1,0)</f>
        <v>0.49402770091138298</v>
      </c>
    </row>
    <row r="136" spans="1:15" ht="18" customHeight="1">
      <c r="A136" s="201" t="s">
        <v>260</v>
      </c>
      <c r="B136" s="37" t="s">
        <v>261</v>
      </c>
      <c r="C136" s="66">
        <f ca="1">125.86878125*OFFSET($L$113,MATCH($N$1,$C$113:$C$114,0)-1,0)</f>
        <v>125.86878125</v>
      </c>
      <c r="D136" s="66">
        <f ca="1">162.414190340909*OFFSET($L$113,MATCH($N$1,$C$113:$C$114,0)-1,0)</f>
        <v>162.41419034090899</v>
      </c>
      <c r="E136" s="66">
        <f ca="1">176.372546875*OFFSET($L$113,MATCH($N$1,$C$113:$C$114,0)-1,0)</f>
        <v>176.37254687500001</v>
      </c>
      <c r="F136" s="67">
        <f ca="1">157.036328125*OFFSET($L$113,MATCH($N$1,$C$113:$C$114,0)-1,0)</f>
        <v>157.03632812500001</v>
      </c>
    </row>
    <row r="137" spans="1:15" ht="18" customHeight="1">
      <c r="A137" s="202"/>
      <c r="B137" s="37" t="s">
        <v>262</v>
      </c>
      <c r="C137" s="31">
        <v>263419.99365234375</v>
      </c>
      <c r="D137" s="31">
        <v>342300.00228881836</v>
      </c>
      <c r="E137" s="31">
        <v>367290.01007080078</v>
      </c>
      <c r="F137" s="68">
        <v>329469.04761904763</v>
      </c>
    </row>
    <row r="138" spans="1:15" ht="18" customHeight="1">
      <c r="A138" s="202"/>
      <c r="B138" s="37" t="s">
        <v>263</v>
      </c>
      <c r="C138" s="31">
        <v>1586.867431640625</v>
      </c>
      <c r="D138" s="31">
        <v>1650</v>
      </c>
      <c r="E138" s="31">
        <v>1650</v>
      </c>
      <c r="F138" s="68">
        <v>1637.59765625</v>
      </c>
    </row>
    <row r="139" spans="1:15" ht="18" customHeight="1">
      <c r="A139" s="202"/>
      <c r="B139" s="37" t="s">
        <v>264</v>
      </c>
      <c r="C139" s="31">
        <f ca="1">758.245670180723*OFFSET($L$113,MATCH($N$1,$C$113:$C$114,0)-1,0)</f>
        <v>758.24567018072298</v>
      </c>
      <c r="D139" s="31">
        <f ca="1">782.890482823856*OFFSET($L$113,MATCH($N$1,$C$113:$C$114,0)-1,0)</f>
        <v>782.89048282385602</v>
      </c>
      <c r="E139" s="31">
        <f ca="1">792.329479061117*OFFSET($L$113,MATCH($N$1,$C$113:$C$114,0)-1,0)</f>
        <v>792.32947906111701</v>
      </c>
      <c r="F139" s="68">
        <f ca="1">780.535598233143*OFFSET($L$113,MATCH($N$1,$C$113:$C$114,0)-1,0)</f>
        <v>780.53559823314299</v>
      </c>
      <c r="I139" s="43"/>
      <c r="L139" s="69" t="str">
        <f>C120</f>
        <v>Most
profitable
quartile</v>
      </c>
      <c r="M139" s="69" t="str">
        <f>D120</f>
        <v>Middle
two quartiles</v>
      </c>
      <c r="N139" s="69" t="str">
        <f>E120</f>
        <v>Least
profitable
quartile</v>
      </c>
      <c r="O139" s="69"/>
    </row>
    <row r="140" spans="1:15" ht="18" customHeight="1">
      <c r="A140" s="202"/>
      <c r="B140" s="37" t="s">
        <v>265</v>
      </c>
      <c r="C140" s="31">
        <f ca="1">149.258317564798*OFFSET($L$113,MATCH($N$1,$C$113:$C$114,0)-1,0)</f>
        <v>149.25831756479801</v>
      </c>
      <c r="D140" s="31">
        <f ca="1">241.939706286148*OFFSET($L$113,MATCH($N$1,$C$113:$C$114,0)-1,0)</f>
        <v>241.93970628614801</v>
      </c>
      <c r="E140" s="31">
        <f ca="1">443.000768053158*OFFSET($L$113,MATCH($N$1,$C$113:$C$114,0)-1,0)</f>
        <v>443.00076805315803</v>
      </c>
      <c r="F140" s="68">
        <f ca="1">242.635375561538*OFFSET($L$113,MATCH($N$1,$C$113:$C$114,0)-1,0)</f>
        <v>242.63537556153801</v>
      </c>
      <c r="I140" s="43"/>
      <c r="K140" s="69" t="s">
        <v>266</v>
      </c>
      <c r="L140" s="70">
        <f t="shared" ref="L140:M142" ca="1" si="2">C141</f>
        <v>1863.0387499999999</v>
      </c>
      <c r="M140" s="70">
        <f t="shared" ca="1" si="2"/>
        <v>1008.35923863636</v>
      </c>
      <c r="N140" s="70">
        <f ca="1">E141</f>
        <v>488.81828124999998</v>
      </c>
      <c r="O140" s="70"/>
    </row>
    <row r="141" spans="1:15" ht="18" customHeight="1">
      <c r="A141" s="179" t="s">
        <v>267</v>
      </c>
      <c r="B141" s="35" t="s">
        <v>268</v>
      </c>
      <c r="C141" s="71">
        <f ca="1">1863.03875*OFFSET($L$113,MATCH($N$1,$C$113:$C$114,0)-1,0)</f>
        <v>1863.0387499999999</v>
      </c>
      <c r="D141" s="71">
        <f ca="1">1008.35923863636*OFFSET($L$113,MATCH($N$1,$C$113:$C$114,0)-1,0)</f>
        <v>1008.35923863636</v>
      </c>
      <c r="E141" s="71">
        <f ca="1">488.81828125*OFFSET($L$113,MATCH($N$1,$C$113:$C$114,0)-1,0)</f>
        <v>488.81828124999998</v>
      </c>
      <c r="F141" s="72">
        <f ca="1">1088.154125*OFFSET($L$113,MATCH($N$1,$C$113:$C$114,0)-1,0)</f>
        <v>1088.154125</v>
      </c>
      <c r="I141" s="43"/>
      <c r="K141" s="69" t="s">
        <v>269</v>
      </c>
      <c r="L141" s="70">
        <f t="shared" ca="1" si="2"/>
        <v>1579.7255</v>
      </c>
      <c r="M141" s="70">
        <f t="shared" ca="1" si="2"/>
        <v>949.30593181818199</v>
      </c>
      <c r="N141" s="70">
        <f ca="1">E142</f>
        <v>557.8309375</v>
      </c>
      <c r="O141" s="70"/>
    </row>
    <row r="142" spans="1:15" ht="18" customHeight="1">
      <c r="A142" s="180"/>
      <c r="B142" s="37" t="s">
        <v>270</v>
      </c>
      <c r="C142" s="31">
        <f ca="1">1579.7255*OFFSET($L$113,MATCH($N$1,$C$113:$C$114,0)-1,0)</f>
        <v>1579.7255</v>
      </c>
      <c r="D142" s="31">
        <f ca="1">949.305931818182*OFFSET($L$113,MATCH($N$1,$C$113:$C$114,0)-1,0)</f>
        <v>949.30593181818199</v>
      </c>
      <c r="E142" s="31">
        <f ca="1">557.8309375*OFFSET($L$113,MATCH($N$1,$C$113:$C$114,0)-1,0)</f>
        <v>557.8309375</v>
      </c>
      <c r="F142" s="68">
        <f ca="1">1006.1975*OFFSET($L$113,MATCH($N$1,$C$113:$C$114,0)-1,0)</f>
        <v>1006.1975</v>
      </c>
      <c r="I142" s="43"/>
      <c r="K142" s="69" t="s">
        <v>271</v>
      </c>
      <c r="L142" s="70">
        <f t="shared" ca="1" si="2"/>
        <v>283.31324999999998</v>
      </c>
      <c r="M142" s="70">
        <f t="shared" ca="1" si="2"/>
        <v>59.053306818181902</v>
      </c>
      <c r="N142" s="70">
        <f ca="1">E143</f>
        <v>-69.012656250000006</v>
      </c>
      <c r="O142" s="70"/>
    </row>
    <row r="143" spans="1:15" ht="18" customHeight="1">
      <c r="A143" s="181"/>
      <c r="B143" s="39" t="s">
        <v>272</v>
      </c>
      <c r="C143" s="40">
        <f ca="1">283.31325*OFFSET($L$113,MATCH($N$1,$C$113:$C$114,0)-1,0)</f>
        <v>283.31324999999998</v>
      </c>
      <c r="D143" s="40">
        <f ca="1">59.0533068181819*OFFSET($L$113,MATCH($N$1,$C$113:$C$114,0)-1,0)</f>
        <v>59.053306818181902</v>
      </c>
      <c r="E143" s="40">
        <f ca="1">-69.01265625*OFFSET($L$113,MATCH($N$1,$C$113:$C$114,0)-1,0)</f>
        <v>-69.012656250000006</v>
      </c>
      <c r="F143" s="61">
        <f ca="1">81.9566328125*OFFSET($L$113,MATCH($N$1,$C$113:$C$114,0)-1,0)</f>
        <v>81.956632812500004</v>
      </c>
      <c r="I143" s="43"/>
      <c r="K143" s="69" t="s">
        <v>273</v>
      </c>
      <c r="L143" s="73">
        <f ca="1">IFERROR(L141/L$140,"")</f>
        <v>0.8479294915363409</v>
      </c>
      <c r="M143" s="73">
        <f t="shared" ref="M143:N144" ca="1" si="3">IFERROR(M141/M$140,"")</f>
        <v>0.94143624161361583</v>
      </c>
      <c r="N143" s="73">
        <f t="shared" ca="1" si="3"/>
        <v>1.141182641683371</v>
      </c>
      <c r="O143" s="73"/>
    </row>
    <row r="144" spans="1:15" ht="18" customHeight="1">
      <c r="I144" s="43"/>
      <c r="K144" s="69" t="s">
        <v>274</v>
      </c>
      <c r="L144" s="73">
        <f ca="1">IFERROR(L142/L$140,"")</f>
        <v>0.15207050846365916</v>
      </c>
      <c r="M144" s="73">
        <f t="shared" ca="1" si="3"/>
        <v>5.8563758386387957E-2</v>
      </c>
      <c r="N144" s="73">
        <f t="shared" ca="1" si="3"/>
        <v>-0.14118264168337097</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11</v>
      </c>
      <c r="B162" s="48"/>
      <c r="C162" s="74" t="s">
        <v>255</v>
      </c>
      <c r="D162" s="74" t="s">
        <v>276</v>
      </c>
      <c r="E162" s="74" t="s">
        <v>257</v>
      </c>
      <c r="F162" s="74" t="s">
        <v>277</v>
      </c>
      <c r="G162" s="75">
        <v>10</v>
      </c>
      <c r="H162" s="74"/>
      <c r="I162" s="74" t="s">
        <v>255</v>
      </c>
      <c r="J162" s="74" t="s">
        <v>276</v>
      </c>
      <c r="K162" s="74" t="s">
        <v>257</v>
      </c>
      <c r="L162" s="48" t="s">
        <v>277</v>
      </c>
      <c r="R162" s="21"/>
      <c r="S162" s="21"/>
    </row>
    <row r="163" spans="1:19" s="43" customFormat="1">
      <c r="A163" s="44">
        <v>1</v>
      </c>
      <c r="B163" s="48" t="s">
        <v>156</v>
      </c>
      <c r="C163" s="48">
        <v>0.24398124451382341</v>
      </c>
      <c r="D163" s="48">
        <v>0.23688339261014682</v>
      </c>
      <c r="E163" s="48">
        <v>0</v>
      </c>
      <c r="F163" s="44">
        <v>553960</v>
      </c>
      <c r="G163" s="44">
        <v>1</v>
      </c>
      <c r="H163" s="48" t="s">
        <v>156</v>
      </c>
      <c r="I163" s="48">
        <v>0.18941026031130823</v>
      </c>
      <c r="J163" s="48">
        <v>0.20802513313810123</v>
      </c>
      <c r="K163" s="48">
        <v>0</v>
      </c>
      <c r="L163" s="44">
        <v>553960</v>
      </c>
      <c r="R163" s="21"/>
      <c r="S163" s="21"/>
    </row>
    <row r="164" spans="1:19" s="43" customFormat="1">
      <c r="A164" s="44">
        <v>2</v>
      </c>
      <c r="B164" s="48" t="s">
        <v>172</v>
      </c>
      <c r="C164" s="48">
        <v>0.32496575120377424</v>
      </c>
      <c r="D164" s="48">
        <v>0.21655140533568326</v>
      </c>
      <c r="E164" s="48">
        <v>0.13418994710766222</v>
      </c>
      <c r="F164" s="44">
        <v>12153634</v>
      </c>
      <c r="G164" s="44">
        <v>2</v>
      </c>
      <c r="H164" s="48" t="s">
        <v>172</v>
      </c>
      <c r="I164" s="48">
        <v>0.25505103533885543</v>
      </c>
      <c r="J164" s="48">
        <v>0.20100716483957506</v>
      </c>
      <c r="K164" s="48">
        <v>9.9245354296613617E-2</v>
      </c>
      <c r="L164" s="44">
        <v>12153634</v>
      </c>
      <c r="N164" s="43" t="s">
        <v>278</v>
      </c>
      <c r="R164" s="21"/>
      <c r="S164" s="21"/>
    </row>
    <row r="165" spans="1:19" s="43" customFormat="1">
      <c r="A165" s="44">
        <v>3</v>
      </c>
      <c r="B165" s="48" t="s">
        <v>169</v>
      </c>
      <c r="C165" s="48">
        <v>0</v>
      </c>
      <c r="D165" s="48">
        <v>0.17235846269411045</v>
      </c>
      <c r="E165" s="48">
        <v>0.31542138429109712</v>
      </c>
      <c r="F165" s="44">
        <v>1692097</v>
      </c>
      <c r="G165" s="44">
        <v>3</v>
      </c>
      <c r="H165" s="48" t="s">
        <v>169</v>
      </c>
      <c r="I165" s="48">
        <v>0</v>
      </c>
      <c r="J165" s="48">
        <v>0.11168893828876357</v>
      </c>
      <c r="K165" s="48">
        <v>0.26417787606703136</v>
      </c>
      <c r="L165" s="44">
        <v>1692097</v>
      </c>
      <c r="N165" s="43" t="s">
        <v>279</v>
      </c>
      <c r="R165" s="21"/>
      <c r="S165" s="21"/>
    </row>
    <row r="166" spans="1:19" s="43" customFormat="1">
      <c r="A166" s="44">
        <v>4</v>
      </c>
      <c r="B166" s="48" t="s">
        <v>123</v>
      </c>
      <c r="C166" s="48">
        <v>0</v>
      </c>
      <c r="D166" s="48">
        <v>4.4927047674934606E-2</v>
      </c>
      <c r="E166" s="48">
        <v>0</v>
      </c>
      <c r="F166" s="44">
        <v>11115023</v>
      </c>
      <c r="G166" s="44">
        <v>4</v>
      </c>
      <c r="H166" s="48" t="s">
        <v>168</v>
      </c>
      <c r="I166" s="48">
        <v>0.24110396993777233</v>
      </c>
      <c r="J166" s="48">
        <v>0.10783704763556017</v>
      </c>
      <c r="K166" s="48">
        <v>0</v>
      </c>
      <c r="L166" s="44">
        <v>3050596</v>
      </c>
      <c r="R166" s="21"/>
      <c r="S166" s="21"/>
    </row>
    <row r="167" spans="1:19" s="43" customFormat="1">
      <c r="A167" s="44">
        <v>5</v>
      </c>
      <c r="B167" s="48" t="s">
        <v>181</v>
      </c>
      <c r="C167" s="48">
        <v>0</v>
      </c>
      <c r="D167" s="48">
        <v>0</v>
      </c>
      <c r="E167" s="48">
        <v>0.10867178873774748</v>
      </c>
      <c r="F167" s="44">
        <v>2480382</v>
      </c>
      <c r="G167" s="44">
        <v>5</v>
      </c>
      <c r="H167" s="48" t="s">
        <v>181</v>
      </c>
      <c r="I167" s="48">
        <v>0</v>
      </c>
      <c r="J167" s="48">
        <v>0</v>
      </c>
      <c r="K167" s="48">
        <v>0.1949222822179057</v>
      </c>
      <c r="L167" s="44">
        <v>2480382</v>
      </c>
      <c r="R167" s="21"/>
      <c r="S167" s="21"/>
    </row>
    <row r="168" spans="1:19" s="43" customFormat="1">
      <c r="A168" s="44">
        <v>6</v>
      </c>
      <c r="B168" s="48" t="s">
        <v>485</v>
      </c>
      <c r="C168" s="48">
        <v>0</v>
      </c>
      <c r="D168" s="48">
        <v>0</v>
      </c>
      <c r="E168" s="48">
        <v>5.7026536955526994E-2</v>
      </c>
      <c r="F168" s="44">
        <v>7434864</v>
      </c>
      <c r="G168" s="44">
        <v>6</v>
      </c>
      <c r="H168" s="48" t="s">
        <v>123</v>
      </c>
      <c r="I168" s="48">
        <v>0</v>
      </c>
      <c r="J168" s="48">
        <v>0</v>
      </c>
      <c r="K168" s="48">
        <v>6.0111785478712945E-2</v>
      </c>
      <c r="L168" s="44">
        <v>11115023</v>
      </c>
      <c r="R168" s="21"/>
      <c r="S168" s="21"/>
    </row>
    <row r="169" spans="1:19" s="43" customFormat="1">
      <c r="A169" s="44">
        <v>7</v>
      </c>
      <c r="B169" s="48" t="s">
        <v>168</v>
      </c>
      <c r="C169" s="48">
        <v>0.13671001952441941</v>
      </c>
      <c r="D169" s="48">
        <v>0</v>
      </c>
      <c r="E169" s="48">
        <v>0</v>
      </c>
      <c r="F169" s="44">
        <v>3050596</v>
      </c>
      <c r="G169" s="44">
        <v>7</v>
      </c>
      <c r="H169" s="48" t="s">
        <v>165</v>
      </c>
      <c r="I169" s="48">
        <v>0.13631988272453255</v>
      </c>
      <c r="J169" s="48">
        <v>0</v>
      </c>
      <c r="K169" s="48">
        <v>0</v>
      </c>
      <c r="L169" s="44">
        <v>3689192</v>
      </c>
      <c r="R169" s="21"/>
      <c r="S169" s="21"/>
    </row>
    <row r="170" spans="1:19" s="43" customFormat="1">
      <c r="A170" s="44">
        <v>8</v>
      </c>
      <c r="B170" s="48" t="s">
        <v>165</v>
      </c>
      <c r="C170" s="48">
        <v>0.10559548755463016</v>
      </c>
      <c r="D170" s="48">
        <v>0</v>
      </c>
      <c r="E170" s="48">
        <v>0</v>
      </c>
      <c r="F170" s="44">
        <v>3689192</v>
      </c>
      <c r="G170" s="44">
        <v>8</v>
      </c>
      <c r="H170" s="48" t="s">
        <v>321</v>
      </c>
      <c r="I170" s="48">
        <v>3.6058498746437143E-2</v>
      </c>
      <c r="J170" s="48">
        <v>0</v>
      </c>
      <c r="K170" s="48">
        <v>0</v>
      </c>
      <c r="L170" s="44">
        <v>14393110</v>
      </c>
      <c r="R170" s="21"/>
      <c r="S170" s="21"/>
    </row>
    <row r="171" spans="1:19" s="43" customFormat="1">
      <c r="A171" s="44">
        <v>9</v>
      </c>
      <c r="B171" s="48" t="s">
        <v>435</v>
      </c>
      <c r="C171" s="48">
        <v>7.0802510381756834E-2</v>
      </c>
      <c r="D171" s="48">
        <v>0</v>
      </c>
      <c r="E171" s="48">
        <v>0</v>
      </c>
      <c r="F171" s="44">
        <v>8497745</v>
      </c>
      <c r="G171" s="44">
        <v>9</v>
      </c>
      <c r="H171" s="48" t="s">
        <v>251</v>
      </c>
      <c r="I171" s="48">
        <v>0.14205635294109431</v>
      </c>
      <c r="J171" s="48">
        <v>0.26776676240579478</v>
      </c>
      <c r="K171" s="48">
        <v>0.25862225057422794</v>
      </c>
      <c r="L171" s="44">
        <v>5920853</v>
      </c>
      <c r="R171" s="21"/>
      <c r="S171" s="21"/>
    </row>
    <row r="172" spans="1:19" s="43" customFormat="1">
      <c r="A172" s="44">
        <v>10</v>
      </c>
      <c r="B172" s="48" t="s">
        <v>251</v>
      </c>
      <c r="C172" s="48">
        <v>0.11794498682159582</v>
      </c>
      <c r="D172" s="48">
        <v>0.2465095313594925</v>
      </c>
      <c r="E172" s="48">
        <v>0.28739982119232999</v>
      </c>
      <c r="F172" s="44">
        <v>5920853</v>
      </c>
      <c r="G172" s="44">
        <v>10</v>
      </c>
      <c r="H172" s="48"/>
      <c r="I172" s="48">
        <v>0</v>
      </c>
      <c r="J172" s="48">
        <v>0.10367495369220529</v>
      </c>
      <c r="K172" s="48">
        <v>0.12292045136550843</v>
      </c>
      <c r="L172" s="44">
        <v>3689192</v>
      </c>
      <c r="R172" s="21"/>
      <c r="S172" s="21"/>
    </row>
    <row r="173" spans="1:19" s="43" customFormat="1">
      <c r="A173" s="44">
        <v>11</v>
      </c>
      <c r="B173" s="48"/>
      <c r="C173" s="48">
        <v>0</v>
      </c>
      <c r="D173" s="48">
        <v>8.2770160325632364E-2</v>
      </c>
      <c r="E173" s="48">
        <v>9.7290521715636263E-2</v>
      </c>
      <c r="F173" s="44">
        <v>3689192</v>
      </c>
      <c r="G173" s="44">
        <v>11</v>
      </c>
      <c r="H173" s="48"/>
      <c r="I173" s="48">
        <v>0</v>
      </c>
      <c r="J173" s="48">
        <v>0.10367495369220529</v>
      </c>
      <c r="K173" s="48">
        <v>0.12292045136550843</v>
      </c>
      <c r="L173" s="44">
        <v>3689192</v>
      </c>
      <c r="R173" s="21"/>
      <c r="S173" s="21"/>
    </row>
    <row r="174" spans="1:19" s="43" customFormat="1">
      <c r="A174" s="44">
        <v>12</v>
      </c>
      <c r="B174" s="48"/>
      <c r="C174" s="48">
        <v>0</v>
      </c>
      <c r="D174" s="48">
        <v>8.2770160325632364E-2</v>
      </c>
      <c r="E174" s="48">
        <v>9.7290521715636263E-2</v>
      </c>
      <c r="F174" s="44">
        <v>3689192</v>
      </c>
      <c r="G174" s="44">
        <v>12</v>
      </c>
      <c r="H174" s="48"/>
      <c r="I174" s="48">
        <v>0</v>
      </c>
      <c r="J174" s="48">
        <v>0.10367495369220529</v>
      </c>
      <c r="K174" s="48">
        <v>0.12292045136550843</v>
      </c>
      <c r="L174" s="44">
        <v>3689192</v>
      </c>
      <c r="R174" s="21"/>
      <c r="S174" s="21"/>
    </row>
    <row r="175" spans="1:19" s="43" customFormat="1">
      <c r="A175" s="44">
        <v>13</v>
      </c>
      <c r="B175" s="48"/>
      <c r="C175" s="48">
        <v>0</v>
      </c>
      <c r="D175" s="48">
        <v>8.2770160325632364E-2</v>
      </c>
      <c r="E175" s="48">
        <v>9.7290521715636263E-2</v>
      </c>
      <c r="F175" s="44">
        <v>3689192</v>
      </c>
      <c r="G175" s="44">
        <v>13</v>
      </c>
      <c r="H175" s="48"/>
      <c r="I175" s="48">
        <v>0</v>
      </c>
      <c r="J175" s="48">
        <v>0.10367495369220529</v>
      </c>
      <c r="K175" s="48">
        <v>0.12292045136550843</v>
      </c>
      <c r="L175" s="44">
        <v>3689192</v>
      </c>
      <c r="R175" s="21"/>
      <c r="S175" s="21"/>
    </row>
    <row r="176" spans="1:19" s="43" customFormat="1">
      <c r="A176" s="44">
        <v>14</v>
      </c>
      <c r="B176" s="48"/>
      <c r="C176" s="48">
        <v>0</v>
      </c>
      <c r="D176" s="48">
        <v>8.2770160325632364E-2</v>
      </c>
      <c r="E176" s="48">
        <v>9.7290521715636263E-2</v>
      </c>
      <c r="F176" s="44">
        <v>3689192</v>
      </c>
      <c r="G176" s="44">
        <v>14</v>
      </c>
      <c r="H176" s="48"/>
      <c r="I176" s="48">
        <v>0</v>
      </c>
      <c r="J176" s="48">
        <v>0.10367495369220529</v>
      </c>
      <c r="K176" s="48">
        <v>0.12292045136550843</v>
      </c>
      <c r="L176" s="44">
        <v>3689192</v>
      </c>
      <c r="R176" s="21"/>
      <c r="S176" s="21"/>
    </row>
    <row r="177" spans="1:19" s="43" customFormat="1">
      <c r="A177" s="44">
        <v>15</v>
      </c>
      <c r="B177" s="48"/>
      <c r="C177" s="48">
        <v>0</v>
      </c>
      <c r="D177" s="48">
        <v>8.2770160325632364E-2</v>
      </c>
      <c r="E177" s="48">
        <v>9.7290521715636263E-2</v>
      </c>
      <c r="F177" s="44">
        <v>3689192</v>
      </c>
      <c r="G177" s="44">
        <v>15</v>
      </c>
      <c r="H177" s="48"/>
      <c r="I177" s="48">
        <v>0</v>
      </c>
      <c r="J177" s="48">
        <v>0.10367495369220529</v>
      </c>
      <c r="K177" s="48">
        <v>0.12292045136550843</v>
      </c>
      <c r="L177" s="44">
        <v>3689192</v>
      </c>
      <c r="R177" s="21"/>
      <c r="S177" s="21"/>
    </row>
    <row r="178" spans="1:19" s="43" customFormat="1">
      <c r="A178" s="44">
        <v>16</v>
      </c>
      <c r="B178" s="48"/>
      <c r="C178" s="48">
        <v>9.7290521715636263E-2</v>
      </c>
      <c r="D178" s="48">
        <v>8.2770160325632364E-2</v>
      </c>
      <c r="E178" s="48">
        <v>9.7290521715636263E-2</v>
      </c>
      <c r="F178" s="44">
        <v>3689192</v>
      </c>
      <c r="G178" s="44">
        <v>16</v>
      </c>
      <c r="H178" s="48"/>
      <c r="I178" s="48">
        <v>0</v>
      </c>
      <c r="J178" s="48">
        <v>0.10367495369220529</v>
      </c>
      <c r="K178" s="48">
        <v>0.12292045136550843</v>
      </c>
      <c r="L178" s="44">
        <v>3689192</v>
      </c>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C3E2B12A-B22C-456D-B331-3792AE3D3506}">
      <formula1>$C$113:$C$114</formula1>
    </dataValidation>
  </dataValidations>
  <hyperlinks>
    <hyperlink ref="O1:P1" location="Home_page" display="Back to home page" xr:uid="{D3BC7399-A7DF-4844-BF35-FD5D78A39076}"/>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C410214-2F30-472E-A357-B796CA1DE75D}">
          <x14:colorSeries rgb="FF323232"/>
          <x14:colorNegative rgb="FFD00000"/>
          <x14:colorAxis rgb="FF000000"/>
          <x14:colorMarkers rgb="FFD00000"/>
          <x14:colorFirst rgb="FFD00000"/>
          <x14:colorLast rgb="FFD00000"/>
          <x14:colorHigh rgb="FFD00000"/>
          <x14:colorLow rgb="FFD00000"/>
          <x14:sparklines>
            <x14:sparkline>
              <xm:f>'NSWOS demersal seiners'!D3:N3</xm:f>
              <xm:sqref>C3</xm:sqref>
            </x14:sparkline>
            <x14:sparkline>
              <xm:f>'NSWOS demersal seiners'!D4:N4</xm:f>
              <xm:sqref>C4</xm:sqref>
            </x14:sparkline>
            <x14:sparkline>
              <xm:f>'NSWOS demersal seiners'!D5:N5</xm:f>
              <xm:sqref>C5</xm:sqref>
            </x14:sparkline>
            <x14:sparkline>
              <xm:f>'NSWOS demersal seiners'!D6:N6</xm:f>
              <xm:sqref>C6</xm:sqref>
            </x14:sparkline>
            <x14:sparkline>
              <xm:f>'NSWOS demersal seiners'!D7:N7</xm:f>
              <xm:sqref>C7</xm:sqref>
            </x14:sparkline>
            <x14:sparkline>
              <xm:f>'NSWOS demersal seiners'!D8:N8</xm:f>
              <xm:sqref>C8</xm:sqref>
            </x14:sparkline>
            <x14:sparkline>
              <xm:f>'NSWOS demersal seiners'!D9:N9</xm:f>
              <xm:sqref>C9</xm:sqref>
            </x14:sparkline>
            <x14:sparkline>
              <xm:f>'NSWOS demersal seiners'!D10:N10</xm:f>
              <xm:sqref>C10</xm:sqref>
            </x14:sparkline>
            <x14:sparkline>
              <xm:f>'NSWOS demersal seiners'!D11:N11</xm:f>
              <xm:sqref>C11</xm:sqref>
            </x14:sparkline>
            <x14:sparkline>
              <xm:f>'NSWOS demersal seiners'!D12:N12</xm:f>
              <xm:sqref>C12</xm:sqref>
            </x14:sparkline>
            <x14:sparkline>
              <xm:f>'NSWOS demersal seiners'!D13:N13</xm:f>
              <xm:sqref>C13</xm:sqref>
            </x14:sparkline>
            <x14:sparkline>
              <xm:f>'NSWOS demersal seiners'!D14:N14</xm:f>
              <xm:sqref>C14</xm:sqref>
            </x14:sparkline>
            <x14:sparkline>
              <xm:f>'NSWOS demersal seiners'!D15:N15</xm:f>
              <xm:sqref>C15</xm:sqref>
            </x14:sparkline>
            <x14:sparkline>
              <xm:f>'NSWOS demersal seiners'!D16:N16</xm:f>
              <xm:sqref>C16</xm:sqref>
            </x14:sparkline>
            <x14:sparkline>
              <xm:f>'NSWOS demersal seiners'!D17:N17</xm:f>
              <xm:sqref>C17</xm:sqref>
            </x14:sparkline>
            <x14:sparkline>
              <xm:f>'NSWOS demersal seiners'!D18:N18</xm:f>
              <xm:sqref>C18</xm:sqref>
            </x14:sparkline>
            <x14:sparkline>
              <xm:f>'NSWOS demersal seiners'!D19:N19</xm:f>
              <xm:sqref>C19</xm:sqref>
            </x14:sparkline>
            <x14:sparkline>
              <xm:f>'NSWOS demersal seiners'!D20:N20</xm:f>
              <xm:sqref>C20</xm:sqref>
            </x14:sparkline>
            <x14:sparkline>
              <xm:f>'NSWOS demersal seiners'!D21:N21</xm:f>
              <xm:sqref>C21</xm:sqref>
            </x14:sparkline>
            <x14:sparkline>
              <xm:f>'NSWOS demersal seiners'!D22:N22</xm:f>
              <xm:sqref>C22</xm:sqref>
            </x14:sparkline>
            <x14:sparkline>
              <xm:f>'NSWOS demersal seiners'!D23:N23</xm:f>
              <xm:sqref>C23</xm:sqref>
            </x14:sparkline>
            <x14:sparkline>
              <xm:f>'NSWOS demersal seiners'!D24:N24</xm:f>
              <xm:sqref>C24</xm:sqref>
            </x14:sparkline>
            <x14:sparkline>
              <xm:f>'NSWOS demersal seiners'!D25:N25</xm:f>
              <xm:sqref>C25</xm:sqref>
            </x14:sparkline>
            <x14:sparkline>
              <xm:f>'NSWOS demersal seiners'!D26:N26</xm:f>
              <xm:sqref>C26</xm:sqref>
            </x14:sparkline>
            <x14:sparkline>
              <xm:f>'NSWOS demersal seiners'!D27:N27</xm:f>
              <xm:sqref>C27</xm:sqref>
            </x14:sparkline>
            <x14:sparkline>
              <xm:f>'NSWOS demersal seiners'!D28:N28</xm:f>
              <xm:sqref>C28</xm:sqref>
            </x14:sparkline>
            <x14:sparkline>
              <xm:f>'NSWOS demersal seiners'!D29:N29</xm:f>
              <xm:sqref>C29</xm:sqref>
            </x14:sparkline>
            <x14:sparkline>
              <xm:f>'NSWOS demersal seiners'!D30:N30</xm:f>
              <xm:sqref>C30</xm:sqref>
            </x14:sparkline>
            <x14:sparkline>
              <xm:f>'NSWOS demersal seiners'!D31:N31</xm:f>
              <xm:sqref>C31</xm:sqref>
            </x14:sparkline>
            <x14:sparkline>
              <xm:f>'NSWOS demersal seiners'!D32:N32</xm:f>
              <xm:sqref>C32</xm:sqref>
            </x14:sparkline>
            <x14:sparkline>
              <xm:f>'NSWOS demersal seiners'!D33:N33</xm:f>
              <xm:sqref>C33</xm:sqref>
            </x14:sparkline>
            <x14:sparkline>
              <xm:f>'NSWOS demersal seiners'!D34:N34</xm:f>
              <xm:sqref>C34</xm:sqref>
            </x14:sparkline>
            <x14:sparkline>
              <xm:f>'NSWOS demersal seiners'!D35:N35</xm:f>
              <xm:sqref>C35</xm:sqref>
            </x14:sparkline>
            <x14:sparkline>
              <xm:f>'NSWOS demersal seiners'!D36:N36</xm:f>
              <xm:sqref>C36</xm:sqref>
            </x14:sparkline>
            <x14:sparkline>
              <xm:f>'NSWOS demersal seiners'!D37:N37</xm:f>
              <xm:sqref>C37</xm:sqref>
            </x14:sparkline>
            <x14:sparkline>
              <xm:f>'NSWOS demersal seiners'!D38:N38</xm:f>
              <xm:sqref>C38</xm:sqref>
            </x14:sparkline>
            <x14:sparkline>
              <xm:f>'NSWOS demersal seiners'!D39:N39</xm:f>
              <xm:sqref>C39</xm:sqref>
            </x14:sparkline>
            <x14:sparkline>
              <xm:f>'NSWOS demersal seiners'!D40:N40</xm:f>
              <xm:sqref>C40</xm:sqref>
            </x14:sparkline>
            <x14:sparkline>
              <xm:f>'NSWOS demersal seiners'!D41:N41</xm:f>
              <xm:sqref>C41</xm:sqref>
            </x14:sparkline>
            <x14:sparkline>
              <xm:f>'NSWOS demersal seiners'!D42:N42</xm:f>
              <xm:sqref>C42</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8141-B8C6-48D2-B155-1777070A2250}">
  <sheetPr codeName="Feuil24">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26</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36</v>
      </c>
      <c r="E3" s="28">
        <v>40</v>
      </c>
      <c r="F3" s="28">
        <v>34</v>
      </c>
      <c r="G3" s="28">
        <v>45</v>
      </c>
      <c r="H3" s="28">
        <v>33</v>
      </c>
      <c r="I3" s="28">
        <v>37</v>
      </c>
      <c r="J3" s="28">
        <v>46</v>
      </c>
      <c r="K3" s="28">
        <v>26</v>
      </c>
      <c r="L3" s="28">
        <v>40</v>
      </c>
      <c r="M3" s="28">
        <v>24</v>
      </c>
      <c r="N3" s="28">
        <v>22</v>
      </c>
      <c r="O3" s="29">
        <f t="shared" ref="O3:O42" si="0">IF(N3=0,"",IFERROR(IF(AND(N3&gt;0,D3&lt;0),"na",IF(AND(N3&lt;0,D3&lt;0),-1,1)*(N3-D3)/D3),""))</f>
        <v>-0.3888888888888889</v>
      </c>
      <c r="P3" s="29">
        <f t="shared" ref="P3:P42" si="1">IF(N3=0,"",IFERROR(IF(AND(N3&gt;0,J3&lt;0),"na",IF(AND(N3&lt;0,J3&lt;0),-1,1)*(N3-J3)/J3),""))</f>
        <v>-0.52173913043478259</v>
      </c>
    </row>
    <row r="4" spans="1:17" ht="18" customHeight="1">
      <c r="A4" s="185"/>
      <c r="B4" s="30" t="s">
        <v>190</v>
      </c>
      <c r="C4" s="31"/>
      <c r="D4" s="31">
        <v>16019</v>
      </c>
      <c r="E4" s="31">
        <v>17901</v>
      </c>
      <c r="F4" s="31">
        <v>15497</v>
      </c>
      <c r="G4" s="31">
        <v>20380</v>
      </c>
      <c r="H4" s="31">
        <v>14994</v>
      </c>
      <c r="I4" s="31">
        <v>17451</v>
      </c>
      <c r="J4" s="31">
        <v>21752</v>
      </c>
      <c r="K4" s="31">
        <v>12448</v>
      </c>
      <c r="L4" s="31">
        <v>19005</v>
      </c>
      <c r="M4" s="31">
        <v>11732</v>
      </c>
      <c r="N4" s="31">
        <v>10570</v>
      </c>
      <c r="O4" s="29">
        <f t="shared" si="0"/>
        <v>-0.34015856170797176</v>
      </c>
      <c r="P4" s="29">
        <f t="shared" si="1"/>
        <v>-0.51406767193821257</v>
      </c>
    </row>
    <row r="5" spans="1:17" ht="18" customHeight="1">
      <c r="A5" s="185"/>
      <c r="B5" s="30" t="s">
        <v>191</v>
      </c>
      <c r="C5" s="31"/>
      <c r="D5" s="31">
        <v>5874</v>
      </c>
      <c r="E5" s="31">
        <v>6621</v>
      </c>
      <c r="F5" s="31">
        <v>5846</v>
      </c>
      <c r="G5" s="31">
        <v>7413</v>
      </c>
      <c r="H5" s="31">
        <v>5656</v>
      </c>
      <c r="I5" s="31">
        <v>6433</v>
      </c>
      <c r="J5" s="31">
        <v>8140</v>
      </c>
      <c r="K5" s="31">
        <v>4661</v>
      </c>
      <c r="L5" s="31">
        <v>7152</v>
      </c>
      <c r="M5" s="31">
        <v>4295</v>
      </c>
      <c r="N5" s="31">
        <v>3855</v>
      </c>
      <c r="O5" s="29">
        <f t="shared" si="0"/>
        <v>-0.34371807967313583</v>
      </c>
      <c r="P5" s="29">
        <f t="shared" si="1"/>
        <v>-0.5264127764127764</v>
      </c>
      <c r="Q5" s="32"/>
    </row>
    <row r="6" spans="1:17" ht="18" customHeight="1">
      <c r="A6" s="185"/>
      <c r="B6" s="30" t="s">
        <v>192</v>
      </c>
      <c r="C6" s="31"/>
      <c r="D6" s="31">
        <v>12482.3193359375</v>
      </c>
      <c r="E6" s="31">
        <v>14051.9130859375</v>
      </c>
      <c r="F6" s="31">
        <v>12076.6201171875</v>
      </c>
      <c r="G6" s="31">
        <v>15752.7666015625</v>
      </c>
      <c r="H6" s="31">
        <v>11656.8505859375</v>
      </c>
      <c r="I6" s="31">
        <v>13314.7919921875</v>
      </c>
      <c r="J6" s="31">
        <v>16585.21875</v>
      </c>
      <c r="K6" s="31">
        <v>9448.0546875</v>
      </c>
      <c r="L6" s="31">
        <v>14519.80859375</v>
      </c>
      <c r="M6" s="31">
        <v>8874.576171875</v>
      </c>
      <c r="N6" s="31">
        <v>8015.2294921875</v>
      </c>
      <c r="O6" s="29">
        <f t="shared" si="0"/>
        <v>-0.35787338262440743</v>
      </c>
      <c r="P6" s="29">
        <f t="shared" si="1"/>
        <v>-0.51672452362514065</v>
      </c>
    </row>
    <row r="7" spans="1:17" ht="18" customHeight="1">
      <c r="A7" s="185"/>
      <c r="B7" s="30" t="s">
        <v>193</v>
      </c>
      <c r="C7" s="31"/>
      <c r="D7" s="31">
        <v>11795.4365234375</v>
      </c>
      <c r="E7" s="31">
        <v>16381.5869140625</v>
      </c>
      <c r="F7" s="31">
        <v>14166.751953125</v>
      </c>
      <c r="G7" s="31">
        <v>16996.73828125</v>
      </c>
      <c r="H7" s="31">
        <v>15156.5732421875</v>
      </c>
      <c r="I7" s="31">
        <v>18032.455078125</v>
      </c>
      <c r="J7" s="31">
        <v>21255.25</v>
      </c>
      <c r="K7" s="31">
        <v>14346.5791015625</v>
      </c>
      <c r="L7" s="31">
        <v>15646.837890625</v>
      </c>
      <c r="M7" s="31">
        <v>10827.8671875</v>
      </c>
      <c r="N7" s="31">
        <v>8194.7998046875</v>
      </c>
      <c r="O7" s="29">
        <f t="shared" si="0"/>
        <v>-0.30525675854348794</v>
      </c>
      <c r="P7" s="29">
        <f t="shared" si="1"/>
        <v>-0.61445761378071295</v>
      </c>
    </row>
    <row r="8" spans="1:17" ht="18" customHeight="1">
      <c r="A8" s="185"/>
      <c r="B8" s="30" t="s">
        <v>194</v>
      </c>
      <c r="C8" s="33"/>
      <c r="D8" s="33">
        <f ca="1">27.315378*OFFSET(D$113,MATCH($N$1,$C$113:$C$114,0)-1,0)</f>
        <v>27.315377999999999</v>
      </c>
      <c r="E8" s="33">
        <f ca="1">32.586662*OFFSET(E$113,MATCH($N$1,$C$113:$C$114,0)-1,0)</f>
        <v>32.586661999999997</v>
      </c>
      <c r="F8" s="33">
        <f ca="1">31.919666*OFFSET(F$113,MATCH($N$1,$C$113:$C$114,0)-1,0)</f>
        <v>31.919665999999999</v>
      </c>
      <c r="G8" s="33">
        <f ca="1">36.6118*OFFSET(G$113,MATCH($N$1,$C$113:$C$114,0)-1,0)</f>
        <v>36.611800000000002</v>
      </c>
      <c r="H8" s="33">
        <f ca="1">37.112216*OFFSET(H$113,MATCH($N$1,$C$113:$C$114,0)-1,0)</f>
        <v>37.112215999999997</v>
      </c>
      <c r="I8" s="33">
        <f ca="1">47.04814*OFFSET(I$113,MATCH($N$1,$C$113:$C$114,0)-1,0)</f>
        <v>47.048139999999997</v>
      </c>
      <c r="J8" s="33">
        <f ca="1">53.860328*OFFSET(J$113,MATCH($N$1,$C$113:$C$114,0)-1,0)</f>
        <v>53.860328000000003</v>
      </c>
      <c r="K8" s="33">
        <f ca="1">39.067532*OFFSET(K$113,MATCH($N$1,$C$113:$C$114,0)-1,0)</f>
        <v>39.067532</v>
      </c>
      <c r="L8" s="33">
        <f ca="1">33.432724*OFFSET(L$113,MATCH($N$1,$C$113:$C$114,0)-1,0)</f>
        <v>33.432724</v>
      </c>
      <c r="M8" s="33">
        <f ca="1">25.766746*OFFSET(M$113,MATCH($N$1,$C$113:$C$114,0)-1,0)</f>
        <v>25.766746000000001</v>
      </c>
      <c r="N8" s="33">
        <v>21.280895999999998</v>
      </c>
      <c r="O8" s="29">
        <f t="shared" ca="1" si="0"/>
        <v>-0.22091885384123189</v>
      </c>
      <c r="P8" s="29">
        <f t="shared" ca="1" si="1"/>
        <v>-0.60488736719167402</v>
      </c>
    </row>
    <row r="9" spans="1:17" ht="18" customHeight="1">
      <c r="A9" s="185"/>
      <c r="B9" s="30" t="s">
        <v>195</v>
      </c>
      <c r="C9" s="31"/>
      <c r="D9" s="31">
        <v>5565</v>
      </c>
      <c r="E9" s="31">
        <v>6917</v>
      </c>
      <c r="F9" s="31">
        <v>5861</v>
      </c>
      <c r="G9" s="31">
        <v>8131</v>
      </c>
      <c r="H9" s="31">
        <v>6294</v>
      </c>
      <c r="I9" s="31">
        <v>6671</v>
      </c>
      <c r="J9" s="31">
        <v>9179</v>
      </c>
      <c r="K9" s="31">
        <v>5571</v>
      </c>
      <c r="L9" s="31">
        <v>6962</v>
      </c>
      <c r="M9" s="31">
        <v>4867</v>
      </c>
      <c r="N9" s="31">
        <v>3882</v>
      </c>
      <c r="O9" s="29">
        <f t="shared" si="0"/>
        <v>-0.30242587601078169</v>
      </c>
      <c r="P9" s="29">
        <f t="shared" si="1"/>
        <v>-0.57707811308421397</v>
      </c>
    </row>
    <row r="10" spans="1:17" ht="18" customHeight="1">
      <c r="A10" s="185"/>
      <c r="B10" s="30" t="s">
        <v>196</v>
      </c>
      <c r="C10" s="31"/>
      <c r="D10" s="31">
        <v>10253.700000000001</v>
      </c>
      <c r="E10" s="31">
        <v>13101.1</v>
      </c>
      <c r="F10" s="31">
        <v>11316.300000000001</v>
      </c>
      <c r="G10" s="31">
        <v>15699.1</v>
      </c>
      <c r="H10" s="31">
        <v>12213.2</v>
      </c>
      <c r="I10" s="31">
        <v>13339.300000000001</v>
      </c>
      <c r="J10" s="31">
        <v>18579.5</v>
      </c>
      <c r="K10" s="31">
        <v>11006.9</v>
      </c>
      <c r="L10" s="31">
        <v>13944.2</v>
      </c>
      <c r="M10" s="31">
        <v>10190.1</v>
      </c>
      <c r="N10" s="31">
        <v>7812.6</v>
      </c>
      <c r="O10" s="29">
        <f t="shared" si="0"/>
        <v>-0.23807016003979053</v>
      </c>
      <c r="P10" s="29">
        <f t="shared" si="1"/>
        <v>-0.57950429236524126</v>
      </c>
    </row>
    <row r="11" spans="1:17" ht="18" customHeight="1">
      <c r="A11" s="185"/>
      <c r="B11" s="30" t="s">
        <v>197</v>
      </c>
      <c r="C11" s="31"/>
      <c r="D11" s="31">
        <v>285.39096069335938</v>
      </c>
      <c r="E11" s="31">
        <v>349.70272827148438</v>
      </c>
      <c r="F11" s="31">
        <v>198.04649353027344</v>
      </c>
      <c r="G11" s="31">
        <v>346.62252807617188</v>
      </c>
      <c r="H11" s="31">
        <v>237.46612548828125</v>
      </c>
      <c r="I11" s="31">
        <v>265.56198120117188</v>
      </c>
      <c r="J11" s="31">
        <v>470.92404174804688</v>
      </c>
      <c r="K11" s="31">
        <v>182.86883544921875</v>
      </c>
      <c r="L11" s="31">
        <v>242.77311706542969</v>
      </c>
      <c r="M11" s="31">
        <v>154.42520141601563</v>
      </c>
      <c r="N11" s="31">
        <v>118.43631744384766</v>
      </c>
      <c r="O11" s="34">
        <f t="shared" si="0"/>
        <v>-0.58500326304622341</v>
      </c>
      <c r="P11" s="34">
        <f t="shared" si="1"/>
        <v>-0.74850229135845803</v>
      </c>
    </row>
    <row r="12" spans="1:17" ht="18" customHeight="1">
      <c r="A12" s="186" t="s">
        <v>198</v>
      </c>
      <c r="B12" s="35" t="s">
        <v>199</v>
      </c>
      <c r="C12" s="36"/>
      <c r="D12" s="36">
        <v>20.639165878295898</v>
      </c>
      <c r="E12" s="36">
        <v>20.848499298095703</v>
      </c>
      <c r="F12" s="36">
        <v>20.913824081420898</v>
      </c>
      <c r="G12" s="36">
        <v>20.840888977050781</v>
      </c>
      <c r="H12" s="36">
        <v>21.02787971496582</v>
      </c>
      <c r="I12" s="36">
        <v>20.951080322265625</v>
      </c>
      <c r="J12" s="36">
        <v>20.872825622558594</v>
      </c>
      <c r="K12" s="36">
        <v>20.781923294067383</v>
      </c>
      <c r="L12" s="36">
        <v>20.935749053955078</v>
      </c>
      <c r="M12" s="36">
        <v>20.924167633056641</v>
      </c>
      <c r="N12" s="36">
        <v>20.75181770324707</v>
      </c>
      <c r="O12" s="29">
        <f t="shared" si="0"/>
        <v>5.4581578352270663E-3</v>
      </c>
      <c r="P12" s="29">
        <f t="shared" si="1"/>
        <v>-5.7973904204298276E-3</v>
      </c>
    </row>
    <row r="13" spans="1:17" ht="18" customHeight="1">
      <c r="A13" s="187"/>
      <c r="B13" s="37" t="s">
        <v>190</v>
      </c>
      <c r="C13" s="31"/>
      <c r="D13" s="31">
        <v>444.97222900390625</v>
      </c>
      <c r="E13" s="31">
        <v>447.52499389648438</v>
      </c>
      <c r="F13" s="31">
        <v>455.79412841796875</v>
      </c>
      <c r="G13" s="31">
        <v>452.88888549804688</v>
      </c>
      <c r="H13" s="31">
        <v>454.3636474609375</v>
      </c>
      <c r="I13" s="31">
        <v>471.64865112304688</v>
      </c>
      <c r="J13" s="31">
        <v>472.86956787109375</v>
      </c>
      <c r="K13" s="31">
        <v>478.76922607421875</v>
      </c>
      <c r="L13" s="31">
        <v>475.125</v>
      </c>
      <c r="M13" s="31">
        <v>488.83334350585938</v>
      </c>
      <c r="N13" s="31">
        <v>480.45455932617188</v>
      </c>
      <c r="O13" s="29">
        <f t="shared" si="0"/>
        <v>7.9740550105103614E-2</v>
      </c>
      <c r="P13" s="29">
        <f t="shared" si="1"/>
        <v>1.6040345944076117E-2</v>
      </c>
    </row>
    <row r="14" spans="1:17" ht="18" customHeight="1">
      <c r="A14" s="187"/>
      <c r="B14" s="37" t="s">
        <v>191</v>
      </c>
      <c r="C14" s="31"/>
      <c r="D14" s="31">
        <v>163.16667175292969</v>
      </c>
      <c r="E14" s="31">
        <v>165.52499389648438</v>
      </c>
      <c r="F14" s="31">
        <v>171.94117736816406</v>
      </c>
      <c r="G14" s="31">
        <v>164.73333740234375</v>
      </c>
      <c r="H14" s="31">
        <v>171.39393615722656</v>
      </c>
      <c r="I14" s="31">
        <v>173.8648681640625</v>
      </c>
      <c r="J14" s="31">
        <v>176.95652770996094</v>
      </c>
      <c r="K14" s="31">
        <v>179.26922607421875</v>
      </c>
      <c r="L14" s="31">
        <v>178.80000305175781</v>
      </c>
      <c r="M14" s="31">
        <v>178.95832824707031</v>
      </c>
      <c r="N14" s="31">
        <v>175.22727966308594</v>
      </c>
      <c r="O14" s="29">
        <f t="shared" si="0"/>
        <v>7.3915878657000916E-2</v>
      </c>
      <c r="P14" s="29">
        <f t="shared" si="1"/>
        <v>-9.7721630801284095E-3</v>
      </c>
    </row>
    <row r="15" spans="1:17" ht="18" customHeight="1">
      <c r="A15" s="187"/>
      <c r="B15" s="37" t="s">
        <v>192</v>
      </c>
      <c r="C15" s="31"/>
      <c r="D15" s="31">
        <v>346.73110961914063</v>
      </c>
      <c r="E15" s="31">
        <v>351.29782104492188</v>
      </c>
      <c r="F15" s="31">
        <v>355.1947021484375</v>
      </c>
      <c r="G15" s="31">
        <v>350.06146240234375</v>
      </c>
      <c r="H15" s="31">
        <v>353.23788452148438</v>
      </c>
      <c r="I15" s="31">
        <v>359.85922241210938</v>
      </c>
      <c r="J15" s="31">
        <v>360.5482177734375</v>
      </c>
      <c r="K15" s="31">
        <v>363.38671875</v>
      </c>
      <c r="L15" s="31">
        <v>362.99520874023438</v>
      </c>
      <c r="M15" s="31">
        <v>369.77398681640625</v>
      </c>
      <c r="N15" s="31">
        <v>364.32861328125</v>
      </c>
      <c r="O15" s="29">
        <f t="shared" si="0"/>
        <v>5.0752595235653869E-2</v>
      </c>
      <c r="P15" s="29">
        <f t="shared" si="1"/>
        <v>1.0485131589772654E-2</v>
      </c>
    </row>
    <row r="16" spans="1:17" ht="18" customHeight="1">
      <c r="A16" s="187"/>
      <c r="B16" s="37" t="s">
        <v>193</v>
      </c>
      <c r="C16" s="33"/>
      <c r="D16" s="33">
        <v>327.6510009765625</v>
      </c>
      <c r="E16" s="33">
        <v>409.5396728515625</v>
      </c>
      <c r="F16" s="33">
        <v>416.669189453125</v>
      </c>
      <c r="G16" s="33">
        <v>377.70529174804688</v>
      </c>
      <c r="H16" s="33">
        <v>459.29010009765625</v>
      </c>
      <c r="I16" s="33">
        <v>487.36367797851563</v>
      </c>
      <c r="J16" s="33">
        <v>462.07064819335938</v>
      </c>
      <c r="K16" s="33">
        <v>551.79150390625</v>
      </c>
      <c r="L16" s="33">
        <v>391.17095947265625</v>
      </c>
      <c r="M16" s="33">
        <v>451.16110229492188</v>
      </c>
      <c r="N16" s="33">
        <v>372.49087524414063</v>
      </c>
      <c r="O16" s="29">
        <f t="shared" si="0"/>
        <v>0.13685254778387082</v>
      </c>
      <c r="P16" s="29">
        <f t="shared" si="1"/>
        <v>-0.19386596681582108</v>
      </c>
    </row>
    <row r="17" spans="1:16" ht="18" customHeight="1">
      <c r="A17" s="187"/>
      <c r="B17" s="37" t="s">
        <v>200</v>
      </c>
      <c r="C17" s="33"/>
      <c r="D17" s="33">
        <f ca="1">758.7605*OFFSET(D$113,MATCH($N$1,$C$113:$C$114,0)-1,0)</f>
        <v>758.76049999999998</v>
      </c>
      <c r="E17" s="33">
        <f ca="1">814.6665*OFFSET(E$113,MATCH($N$1,$C$113:$C$114,0)-1,0)</f>
        <v>814.66650000000004</v>
      </c>
      <c r="F17" s="33">
        <f ca="1">938.8136875*OFFSET(F$113,MATCH($N$1,$C$113:$C$114,0)-1,0)</f>
        <v>938.81368750000001</v>
      </c>
      <c r="G17" s="33">
        <f ca="1">813.5955625*OFFSET(G$113,MATCH($N$1,$C$113:$C$114,0)-1,0)</f>
        <v>813.59556250000003</v>
      </c>
      <c r="H17" s="33">
        <f ca="1">1124.6125*OFFSET(H$113,MATCH($N$1,$C$113:$C$114,0)-1,0)</f>
        <v>1124.6125</v>
      </c>
      <c r="I17" s="33">
        <f ca="1">1271.571375*OFFSET(I$113,MATCH($N$1,$C$113:$C$114,0)-1,0)</f>
        <v>1271.571375</v>
      </c>
      <c r="J17" s="33">
        <f ca="1">1170.876625*OFFSET(J$113,MATCH($N$1,$C$113:$C$114,0)-1,0)</f>
        <v>1170.8766250000001</v>
      </c>
      <c r="K17" s="33">
        <f ca="1">1502.597375*OFFSET(K$113,MATCH($N$1,$C$113:$C$114,0)-1,0)</f>
        <v>1502.5973750000001</v>
      </c>
      <c r="L17" s="33">
        <f ca="1">835.818125*OFFSET(L$113,MATCH($N$1,$C$113:$C$114,0)-1,0)</f>
        <v>835.81812500000001</v>
      </c>
      <c r="M17" s="33">
        <f ca="1">1073.614375*OFFSET(M$113,MATCH($N$1,$C$113:$C$114,0)-1,0)</f>
        <v>1073.6143750000001</v>
      </c>
      <c r="N17" s="33">
        <v>967.31343749999996</v>
      </c>
      <c r="O17" s="29">
        <f t="shared" ca="1" si="0"/>
        <v>0.27486003488584343</v>
      </c>
      <c r="P17" s="29">
        <f t="shared" ca="1" si="1"/>
        <v>-0.17385536883529476</v>
      </c>
    </row>
    <row r="18" spans="1:16" ht="18" customHeight="1">
      <c r="A18" s="187"/>
      <c r="B18" s="37" t="s">
        <v>195</v>
      </c>
      <c r="C18" s="31"/>
      <c r="D18" s="31">
        <v>154.58332824707031</v>
      </c>
      <c r="E18" s="31">
        <v>172.92500305175781</v>
      </c>
      <c r="F18" s="31">
        <v>172.38235473632813</v>
      </c>
      <c r="G18" s="31">
        <v>180.68888854980469</v>
      </c>
      <c r="H18" s="31">
        <v>190.72727966308594</v>
      </c>
      <c r="I18" s="31">
        <v>180.29730224609375</v>
      </c>
      <c r="J18" s="31">
        <v>199.54347229003906</v>
      </c>
      <c r="K18" s="31">
        <v>214.26922607421875</v>
      </c>
      <c r="L18" s="31">
        <v>174.05000305175781</v>
      </c>
      <c r="M18" s="31">
        <v>202.79167175292969</v>
      </c>
      <c r="N18" s="31">
        <v>176.45454406738281</v>
      </c>
      <c r="O18" s="29">
        <f t="shared" si="0"/>
        <v>0.14148495874895234</v>
      </c>
      <c r="P18" s="29">
        <f t="shared" si="1"/>
        <v>-0.11570876239487397</v>
      </c>
    </row>
    <row r="19" spans="1:16" ht="18" customHeight="1">
      <c r="A19" s="187"/>
      <c r="B19" s="37" t="s">
        <v>201</v>
      </c>
      <c r="C19" s="31"/>
      <c r="D19" s="31">
        <v>17.388889312744141</v>
      </c>
      <c r="E19" s="31">
        <v>18</v>
      </c>
      <c r="F19" s="31">
        <v>18.176469802856445</v>
      </c>
      <c r="G19" s="31">
        <v>20.511110305786133</v>
      </c>
      <c r="H19" s="31">
        <v>20.818181991577148</v>
      </c>
      <c r="I19" s="31">
        <v>19.891891479492188</v>
      </c>
      <c r="J19" s="31">
        <v>20.304347991943359</v>
      </c>
      <c r="K19" s="31">
        <v>19.923076629638672</v>
      </c>
      <c r="L19" s="31">
        <v>18.899999618530273</v>
      </c>
      <c r="M19" s="31">
        <v>19.166666030883789</v>
      </c>
      <c r="N19" s="31">
        <v>20.5</v>
      </c>
      <c r="O19" s="29">
        <f t="shared" si="0"/>
        <v>0.1789137092830741</v>
      </c>
      <c r="P19" s="29">
        <f t="shared" si="1"/>
        <v>9.6359660568403442E-3</v>
      </c>
    </row>
    <row r="20" spans="1:16" ht="18" customHeight="1">
      <c r="A20" s="187"/>
      <c r="B20" s="37" t="s">
        <v>202</v>
      </c>
      <c r="C20" s="38"/>
      <c r="D20" s="38">
        <v>2.1195752620697021</v>
      </c>
      <c r="E20" s="38">
        <v>2.3683080673217773</v>
      </c>
      <c r="F20" s="38">
        <v>2.4171221256256104</v>
      </c>
      <c r="G20" s="38">
        <v>2.090362548828125</v>
      </c>
      <c r="H20" s="38">
        <v>2.4080986976623535</v>
      </c>
      <c r="I20" s="38">
        <v>2.7031114101409912</v>
      </c>
      <c r="J20" s="38">
        <v>2.3156390190124512</v>
      </c>
      <c r="K20" s="38">
        <v>2.5752251148223877</v>
      </c>
      <c r="L20" s="38">
        <v>2.2474629878997803</v>
      </c>
      <c r="M20" s="38">
        <v>2.2247517108917236</v>
      </c>
      <c r="N20" s="38">
        <v>2.110973596572876</v>
      </c>
      <c r="O20" s="29">
        <f t="shared" si="0"/>
        <v>-4.0582024383634778E-3</v>
      </c>
      <c r="P20" s="29">
        <f t="shared" si="1"/>
        <v>-8.8383992824088237E-2</v>
      </c>
    </row>
    <row r="21" spans="1:16" ht="18" customHeight="1">
      <c r="A21" s="188"/>
      <c r="B21" s="39" t="s">
        <v>203</v>
      </c>
      <c r="C21" s="40"/>
      <c r="D21" s="40">
        <f ca="1">2316*OFFSET(D$113,MATCH($N$1,$C$113:$C$114,0)-1,0)</f>
        <v>2316</v>
      </c>
      <c r="E21" s="40">
        <f ca="1">1989*OFFSET(E$113,MATCH($N$1,$C$113:$C$114,0)-1,0)</f>
        <v>1989</v>
      </c>
      <c r="F21" s="40">
        <f ca="1">2253*OFFSET(F$113,MATCH($N$1,$C$113:$C$114,0)-1,0)</f>
        <v>2253</v>
      </c>
      <c r="G21" s="40">
        <f ca="1">2154*OFFSET(G$113,MATCH($N$1,$C$113:$C$114,0)-1,0)</f>
        <v>2154</v>
      </c>
      <c r="H21" s="40">
        <f ca="1">2449*OFFSET(H$113,MATCH($N$1,$C$113:$C$114,0)-1,0)</f>
        <v>2449</v>
      </c>
      <c r="I21" s="40">
        <f ca="1">2609*OFFSET(I$113,MATCH($N$1,$C$113:$C$114,0)-1,0)</f>
        <v>2609</v>
      </c>
      <c r="J21" s="40">
        <f ca="1">2534*OFFSET(J$113,MATCH($N$1,$C$113:$C$114,0)-1,0)</f>
        <v>2534</v>
      </c>
      <c r="K21" s="40">
        <f ca="1">2723*OFFSET(K$113,MATCH($N$1,$C$113:$C$114,0)-1,0)</f>
        <v>2723</v>
      </c>
      <c r="L21" s="40">
        <f ca="1">2137*OFFSET(L$113,MATCH($N$1,$C$113:$C$114,0)-1,0)</f>
        <v>2137</v>
      </c>
      <c r="M21" s="40">
        <f ca="1">2380*OFFSET(M$113,MATCH($N$1,$C$113:$C$114,0)-1,0)</f>
        <v>2380</v>
      </c>
      <c r="N21" s="40">
        <v>2597</v>
      </c>
      <c r="O21" s="34">
        <f t="shared" ca="1" si="0"/>
        <v>0.12132987910189982</v>
      </c>
      <c r="P21" s="34">
        <f t="shared" ca="1" si="1"/>
        <v>2.4861878453038673E-2</v>
      </c>
    </row>
    <row r="22" spans="1:16" ht="18" customHeight="1">
      <c r="A22" s="189" t="s">
        <v>204</v>
      </c>
      <c r="B22" s="35" t="s">
        <v>205</v>
      </c>
      <c r="C22" s="41"/>
      <c r="D22" s="41">
        <v>4.611252551815026</v>
      </c>
      <c r="E22" s="41">
        <v>5.1767431474741032</v>
      </c>
      <c r="F22" s="41">
        <v>5.2355570425538271</v>
      </c>
      <c r="G22" s="41">
        <v>4.5100956814444384</v>
      </c>
      <c r="H22" s="41">
        <v>5.2149893381212475</v>
      </c>
      <c r="I22" s="41">
        <v>5.5756812618695131</v>
      </c>
      <c r="J22" s="41">
        <v>4.8278857703016964</v>
      </c>
      <c r="K22" s="41">
        <v>5.3426114360985526</v>
      </c>
      <c r="L22" s="41">
        <v>4.6502948548783261</v>
      </c>
      <c r="M22" s="41">
        <v>4.4968315536811083</v>
      </c>
      <c r="N22" s="41">
        <v>4.2676268612921051</v>
      </c>
      <c r="O22" s="29">
        <f t="shared" si="0"/>
        <v>-7.4518948303464116E-2</v>
      </c>
      <c r="P22" s="29">
        <f t="shared" si="1"/>
        <v>-0.11604643019020322</v>
      </c>
    </row>
    <row r="23" spans="1:16" ht="18" customHeight="1">
      <c r="A23" s="189"/>
      <c r="B23" s="37" t="s">
        <v>206</v>
      </c>
      <c r="C23" s="38"/>
      <c r="D23" s="38">
        <f ca="1">10.678546018212*OFFSET(D$113,MATCH($N$1,$C$113:$C$114,0)-1,0)</f>
        <v>10.678546018212</v>
      </c>
      <c r="E23" s="38">
        <f ca="1">10.2977061831084*OFFSET(E$113,MATCH($N$1,$C$113:$C$114,0)-1,0)</f>
        <v>10.297706183108399</v>
      </c>
      <c r="F23" s="38">
        <f ca="1">11.7964388480169*OFFSET(F$113,MATCH($N$1,$C$113:$C$114,0)-1,0)</f>
        <v>11.7964388480169</v>
      </c>
      <c r="G23" s="38">
        <f ca="1">9.71496537920185*OFFSET(G$113,MATCH($N$1,$C$113:$C$114,0)-1,0)</f>
        <v>9.7149653792018498</v>
      </c>
      <c r="H23" s="38">
        <f ca="1">12.769363406202*OFFSET(H$113,MATCH($N$1,$C$113:$C$114,0)-1,0)</f>
        <v>12.769363406202</v>
      </c>
      <c r="I23" s="38">
        <f ca="1">14.5474047596745*OFFSET(I$113,MATCH($N$1,$C$113:$C$114,0)-1,0)</f>
        <v>14.5474047596745</v>
      </c>
      <c r="J23" s="38">
        <f ca="1">12.2337539047727*OFFSET(J$113,MATCH($N$1,$C$113:$C$114,0)-1,0)</f>
        <v>12.2337539047727</v>
      </c>
      <c r="K23" s="38">
        <f ca="1">14.5486000829955*OFFSET(K$113,MATCH($N$1,$C$113:$C$114,0)-1,0)</f>
        <v>14.548600082995501</v>
      </c>
      <c r="L23" s="38">
        <f ca="1">9.93632229637243*OFFSET(L$113,MATCH($N$1,$C$113:$C$114,0)-1,0)</f>
        <v>9.9363222963724294</v>
      </c>
      <c r="M23" s="38">
        <f ca="1">10.7009734957817*OFFSET(M$113,MATCH($N$1,$C$113:$C$114,0)-1,0)</f>
        <v>10.7009734957817</v>
      </c>
      <c r="N23" s="38">
        <v>11.082507206272133</v>
      </c>
      <c r="O23" s="29">
        <f t="shared" ca="1" si="0"/>
        <v>3.7829231373933077E-2</v>
      </c>
      <c r="P23" s="29">
        <f t="shared" ca="1" si="1"/>
        <v>-9.4104124331897465E-2</v>
      </c>
    </row>
    <row r="24" spans="1:16" ht="18" customHeight="1">
      <c r="A24" s="189"/>
      <c r="B24" s="37" t="s">
        <v>153</v>
      </c>
      <c r="C24" s="38"/>
      <c r="D24" s="38">
        <f ca="1">11.0280027579998*OFFSET(D$113,MATCH($N$1,$C$113:$C$114,0)-1,0)</f>
        <v>11.028002757999801</v>
      </c>
      <c r="E24" s="38">
        <f ca="1">10.2070970681592*OFFSET(E$113,MATCH($N$1,$C$113:$C$114,0)-1,0)</f>
        <v>10.2070970681592</v>
      </c>
      <c r="F24" s="38">
        <f ca="1">10.5443044225006*OFFSET(F$113,MATCH($N$1,$C$113:$C$114,0)-1,0)</f>
        <v>10.5443044225006</v>
      </c>
      <c r="G24" s="38">
        <f ca="1">8.90657020879946*OFFSET(G$113,MATCH($N$1,$C$113:$C$114,0)-1,0)</f>
        <v>8.9065702087994598</v>
      </c>
      <c r="H24" s="38">
        <f ca="1">11.0874633319811*OFFSET(H$113,MATCH($N$1,$C$113:$C$114,0)-1,0)</f>
        <v>11.0874633319811</v>
      </c>
      <c r="I24" s="38">
        <f ca="1">12.2053956587615*OFFSET(I$113,MATCH($N$1,$C$113:$C$114,0)-1,0)</f>
        <v>12.2053956587615</v>
      </c>
      <c r="J24" s="38">
        <f ca="1">10.7608545620977*OFFSET(J$113,MATCH($N$1,$C$113:$C$114,0)-1,0)</f>
        <v>10.7608545620977</v>
      </c>
      <c r="K24" s="38">
        <f ca="1">11.6995962480478*OFFSET(K$113,MATCH($N$1,$C$113:$C$114,0)-1,0)</f>
        <v>11.699596248047801</v>
      </c>
      <c r="L24" s="38">
        <f ca="1">9.47363359305822*OFFSET(L$113,MATCH($N$1,$C$113:$C$114,0)-1,0)</f>
        <v>9.4736335930582207</v>
      </c>
      <c r="M24" s="38">
        <f ca="1">9.50765550317476*OFFSET(M$113,MATCH($N$1,$C$113:$C$114,0)-1,0)</f>
        <v>9.5076555031747603</v>
      </c>
      <c r="N24" s="38">
        <v>10.591155896433044</v>
      </c>
      <c r="O24" s="29">
        <f t="shared" ca="1" si="0"/>
        <v>-3.9612509277789622E-2</v>
      </c>
      <c r="P24" s="29">
        <f t="shared" ca="1" si="1"/>
        <v>-1.5769998998255718E-2</v>
      </c>
    </row>
    <row r="25" spans="1:16" ht="18" customHeight="1">
      <c r="A25" s="189"/>
      <c r="B25" s="37" t="s">
        <v>154</v>
      </c>
      <c r="C25" s="38"/>
      <c r="D25" s="38">
        <f ca="1">1.00335250248021*OFFSET(D$113,MATCH($N$1,$C$113:$C$114,0)-1,0)</f>
        <v>1.0033525024802099</v>
      </c>
      <c r="E25" s="38">
        <f ca="1">1.86774493184358*OFFSET(E$113,MATCH($N$1,$C$113:$C$114,0)-1,0)</f>
        <v>1.8677449318435799</v>
      </c>
      <c r="F25" s="38">
        <f ca="1">1.98749403150111*OFFSET(F$113,MATCH($N$1,$C$113:$C$114,0)-1,0)</f>
        <v>1.98749403150111</v>
      </c>
      <c r="G25" s="38">
        <f ca="1">1.25517073076079*OFFSET(G$113,MATCH($N$1,$C$113:$C$114,0)-1,0)</f>
        <v>1.25517073076079</v>
      </c>
      <c r="H25" s="38">
        <f ca="1">2.4064874040493*OFFSET(H$113,MATCH($N$1,$C$113:$C$114,0)-1,0)</f>
        <v>2.4064874040493001</v>
      </c>
      <c r="I25" s="38">
        <f ca="1">4.52408939030032*OFFSET(I$113,MATCH($N$1,$C$113:$C$114,0)-1,0)</f>
        <v>4.5240893903003201</v>
      </c>
      <c r="J25" s="38">
        <f ca="1">1.64026404014199*OFFSET(J$113,MATCH($N$1,$C$113:$C$114,0)-1,0)</f>
        <v>1.6402640401419899</v>
      </c>
      <c r="K25" s="38">
        <f ca="1">3.44021383361783*OFFSET(K$113,MATCH($N$1,$C$113:$C$114,0)-1,0)</f>
        <v>3.4402138336178298</v>
      </c>
      <c r="L25" s="38">
        <f ca="1">1.37239717084575*OFFSET(L$113,MATCH($N$1,$C$113:$C$114,0)-1,0)</f>
        <v>1.3723971708457501</v>
      </c>
      <c r="M25" s="38">
        <f ca="1">1.92478050071215*OFFSET(M$113,MATCH($N$1,$C$113:$C$114,0)-1,0)</f>
        <v>1.9247805007121499</v>
      </c>
      <c r="N25" s="38">
        <v>1.2488934151983511</v>
      </c>
      <c r="O25" s="29">
        <f t="shared" ca="1" si="0"/>
        <v>0.24472048667958965</v>
      </c>
      <c r="P25" s="29">
        <f t="shared" ca="1" si="1"/>
        <v>-0.2386022099891672</v>
      </c>
    </row>
    <row r="26" spans="1:16" ht="18" customHeight="1">
      <c r="A26" s="189"/>
      <c r="B26" s="37" t="s">
        <v>207</v>
      </c>
      <c r="C26" s="33"/>
      <c r="D26" s="33">
        <f ca="1">95.72*OFFSET(D$113,MATCH($N$1,$C$113:$C$114,0)-1,0)</f>
        <v>95.72</v>
      </c>
      <c r="E26" s="33">
        <f ca="1">93.19*OFFSET(E$113,MATCH($N$1,$C$113:$C$114,0)-1,0)</f>
        <v>93.19</v>
      </c>
      <c r="F26" s="33">
        <f ca="1">161.17*OFFSET(F$113,MATCH($N$1,$C$113:$C$114,0)-1,0)</f>
        <v>161.16999999999999</v>
      </c>
      <c r="G26" s="33">
        <f ca="1">105.62*OFFSET(G$113,MATCH($N$1,$C$113:$C$114,0)-1,0)</f>
        <v>105.62</v>
      </c>
      <c r="H26" s="33">
        <f ca="1">156.28*OFFSET(H$113,MATCH($N$1,$C$113:$C$114,0)-1,0)</f>
        <v>156.28</v>
      </c>
      <c r="I26" s="33">
        <f ca="1">177.17*OFFSET(I$113,MATCH($N$1,$C$113:$C$114,0)-1,0)</f>
        <v>177.17</v>
      </c>
      <c r="J26" s="33">
        <f ca="1">114.37*OFFSET(J$113,MATCH($N$1,$C$113:$C$114,0)-1,0)</f>
        <v>114.37</v>
      </c>
      <c r="K26" s="33">
        <f ca="1">213.64*OFFSET(K$113,MATCH($N$1,$C$113:$C$114,0)-1,0)</f>
        <v>213.64</v>
      </c>
      <c r="L26" s="33">
        <f ca="1">137.71*OFFSET(L$113,MATCH($N$1,$C$113:$C$114,0)-1,0)</f>
        <v>137.71</v>
      </c>
      <c r="M26" s="33">
        <f ca="1">166.85*OFFSET(M$113,MATCH($N$1,$C$113:$C$114,0)-1,0)</f>
        <v>166.85</v>
      </c>
      <c r="N26" s="33">
        <v>179.68</v>
      </c>
      <c r="O26" s="29">
        <f t="shared" ca="1" si="0"/>
        <v>0.87714166318428755</v>
      </c>
      <c r="P26" s="29">
        <f t="shared" ca="1" si="1"/>
        <v>0.5710413569992131</v>
      </c>
    </row>
    <row r="27" spans="1:16" ht="18" customHeight="1">
      <c r="A27" s="190"/>
      <c r="B27" s="37" t="s">
        <v>208</v>
      </c>
      <c r="C27" s="33"/>
      <c r="D27" s="33">
        <f ca="1">8.99*OFFSET(D$113,MATCH($N$1,$C$113:$C$114,0)-1,0)</f>
        <v>8.99</v>
      </c>
      <c r="E27" s="33">
        <f ca="1">16.91*OFFSET(E$113,MATCH($N$1,$C$113:$C$114,0)-1,0)</f>
        <v>16.91</v>
      </c>
      <c r="F27" s="33">
        <f ca="1">27.16*OFFSET(F$113,MATCH($N$1,$C$113:$C$114,0)-1,0)</f>
        <v>27.16</v>
      </c>
      <c r="G27" s="33">
        <f ca="1">13.64*OFFSET(G$113,MATCH($N$1,$C$113:$C$114,0)-1,0)</f>
        <v>13.64</v>
      </c>
      <c r="H27" s="33">
        <f ca="1">29.45*OFFSET(H$113,MATCH($N$1,$C$113:$C$114,0)-1,0)</f>
        <v>29.45</v>
      </c>
      <c r="I27" s="33">
        <f ca="1">55.09*OFFSET(I$113,MATCH($N$1,$C$113:$C$114,0)-1,0)</f>
        <v>55.09</v>
      </c>
      <c r="J27" s="33">
        <f ca="1">15.34*OFFSET(J$113,MATCH($N$1,$C$113:$C$114,0)-1,0)</f>
        <v>15.34</v>
      </c>
      <c r="K27" s="33">
        <f ca="1">50.52*OFFSET(K$113,MATCH($N$1,$C$113:$C$114,0)-1,0)</f>
        <v>50.52</v>
      </c>
      <c r="L27" s="33">
        <f ca="1">19.01*OFFSET(L$113,MATCH($N$1,$C$113:$C$114,0)-1,0)</f>
        <v>19.010000000000002</v>
      </c>
      <c r="M27" s="33">
        <f ca="1">30.01*OFFSET(M$113,MATCH($N$1,$C$113:$C$114,0)-1,0)</f>
        <v>30.01</v>
      </c>
      <c r="N27" s="33">
        <v>20.25</v>
      </c>
      <c r="O27" s="34">
        <f t="shared" ca="1" si="0"/>
        <v>1.2525027808676306</v>
      </c>
      <c r="P27" s="34">
        <f t="shared" ca="1" si="1"/>
        <v>0.32007822685788789</v>
      </c>
    </row>
    <row r="28" spans="1:16" s="78" customFormat="1" ht="18" customHeight="1">
      <c r="A28" s="191" t="s">
        <v>209</v>
      </c>
      <c r="B28" s="82" t="s">
        <v>200</v>
      </c>
      <c r="C28" s="83"/>
      <c r="D28" s="83">
        <f ca="1">758.8*OFFSET(D$113,MATCH($N$1,$C$113:$C$114,0)-1,0)</f>
        <v>758.8</v>
      </c>
      <c r="E28" s="83">
        <f ca="1">814.7*OFFSET(E$113,MATCH($N$1,$C$113:$C$114,0)-1,0)</f>
        <v>814.7</v>
      </c>
      <c r="F28" s="83">
        <f ca="1">938.8*OFFSET(F$113,MATCH($N$1,$C$113:$C$114,0)-1,0)</f>
        <v>938.8</v>
      </c>
      <c r="G28" s="83">
        <f ca="1">813.6*OFFSET(G$113,MATCH($N$1,$C$113:$C$114,0)-1,0)</f>
        <v>813.6</v>
      </c>
      <c r="H28" s="83">
        <f ca="1">1124.6*OFFSET(H$113,MATCH($N$1,$C$113:$C$114,0)-1,0)</f>
        <v>1124.5999999999999</v>
      </c>
      <c r="I28" s="83">
        <f ca="1">1271.6*OFFSET(I$113,MATCH($N$1,$C$113:$C$114,0)-1,0)</f>
        <v>1271.5999999999999</v>
      </c>
      <c r="J28" s="83">
        <f ca="1">1170.9*OFFSET(J$113,MATCH($N$1,$C$113:$C$114,0)-1,0)</f>
        <v>1170.9000000000001</v>
      </c>
      <c r="K28" s="83">
        <f ca="1">1502.6*OFFSET(K$113,MATCH($N$1,$C$113:$C$114,0)-1,0)</f>
        <v>1502.6</v>
      </c>
      <c r="L28" s="83">
        <f ca="1">835.8*OFFSET(L$113,MATCH($N$1,$C$113:$C$114,0)-1,0)</f>
        <v>835.8</v>
      </c>
      <c r="M28" s="83">
        <f ca="1">1073.6*OFFSET(M$113,MATCH($N$1,$C$113:$C$114,0)-1,0)</f>
        <v>1073.5999999999999</v>
      </c>
      <c r="N28" s="83">
        <v>967.30000000000007</v>
      </c>
      <c r="O28" s="84">
        <f t="shared" ca="1" si="0"/>
        <v>0.27477596204533489</v>
      </c>
      <c r="P28" s="84">
        <f t="shared" ca="1" si="1"/>
        <v>-0.17388333760355282</v>
      </c>
    </row>
    <row r="29" spans="1:16" s="78" customFormat="1" ht="18" customHeight="1">
      <c r="A29" s="192"/>
      <c r="B29" s="85" t="s">
        <v>210</v>
      </c>
      <c r="C29" s="86"/>
      <c r="D29" s="86">
        <f ca="1">96.1*OFFSET(D$113,MATCH($N$1,$C$113:$C$114,0)-1,0)</f>
        <v>96.1</v>
      </c>
      <c r="E29" s="86">
        <f ca="1">140.6*OFFSET(E$113,MATCH($N$1,$C$113:$C$114,0)-1,0)</f>
        <v>140.6</v>
      </c>
      <c r="F29" s="86">
        <f ca="1">58.5*OFFSET(F$113,MATCH($N$1,$C$113:$C$114,0)-1,0)</f>
        <v>58.5</v>
      </c>
      <c r="G29" s="86">
        <f ca="1">37.4*OFFSET(G$113,MATCH($N$1,$C$113:$C$114,0)-1,0)</f>
        <v>37.4</v>
      </c>
      <c r="H29" s="86">
        <f ca="1">63.8*OFFSET(H$113,MATCH($N$1,$C$113:$C$114,0)-1,0)</f>
        <v>63.8</v>
      </c>
      <c r="I29" s="86">
        <f ca="1">190.7*OFFSET(I$113,MATCH($N$1,$C$113:$C$114,0)-1,0)</f>
        <v>190.7</v>
      </c>
      <c r="J29" s="86">
        <f ca="1">16*OFFSET(J$113,MATCH($N$1,$C$113:$C$114,0)-1,0)</f>
        <v>16</v>
      </c>
      <c r="K29" s="86">
        <f ca="1">61.1*OFFSET(K$113,MATCH($N$1,$C$113:$C$114,0)-1,0)</f>
        <v>61.1</v>
      </c>
      <c r="L29" s="86">
        <f ca="1">76.5*OFFSET(L$113,MATCH($N$1,$C$113:$C$114,0)-1,0)</f>
        <v>76.5</v>
      </c>
      <c r="M29" s="86">
        <f ca="1">73.4*OFFSET(M$113,MATCH($N$1,$C$113:$C$114,0)-1,0)</f>
        <v>73.400000000000006</v>
      </c>
      <c r="N29" s="86">
        <v>66.099999999999994</v>
      </c>
      <c r="O29" s="84">
        <f t="shared" ca="1" si="0"/>
        <v>-0.31217481789802293</v>
      </c>
      <c r="P29" s="84">
        <f t="shared" ca="1" si="1"/>
        <v>3.1312499999999996</v>
      </c>
    </row>
    <row r="30" spans="1:16" s="78" customFormat="1" ht="18" customHeight="1">
      <c r="A30" s="192"/>
      <c r="B30" s="87" t="s">
        <v>211</v>
      </c>
      <c r="C30" s="88"/>
      <c r="D30" s="88">
        <f ca="1">854.9*OFFSET(D$113,MATCH($N$1,$C$113:$C$114,0)-1,0)</f>
        <v>854.9</v>
      </c>
      <c r="E30" s="88">
        <f ca="1">955.3*OFFSET(E$113,MATCH($N$1,$C$113:$C$114,0)-1,0)</f>
        <v>955.3</v>
      </c>
      <c r="F30" s="88">
        <f ca="1">997.3*OFFSET(F$113,MATCH($N$1,$C$113:$C$114,0)-1,0)</f>
        <v>997.3</v>
      </c>
      <c r="G30" s="88">
        <f ca="1">851*OFFSET(G$113,MATCH($N$1,$C$113:$C$114,0)-1,0)</f>
        <v>851</v>
      </c>
      <c r="H30" s="88">
        <f ca="1">1188.4*OFFSET(H$113,MATCH($N$1,$C$113:$C$114,0)-1,0)</f>
        <v>1188.4000000000001</v>
      </c>
      <c r="I30" s="88">
        <f ca="1">1462.3*OFFSET(I$113,MATCH($N$1,$C$113:$C$114,0)-1,0)</f>
        <v>1462.3</v>
      </c>
      <c r="J30" s="88">
        <f ca="1">1186.9*OFFSET(J$113,MATCH($N$1,$C$113:$C$114,0)-1,0)</f>
        <v>1186.9000000000001</v>
      </c>
      <c r="K30" s="88">
        <f ca="1">1563.7*OFFSET(K$113,MATCH($N$1,$C$113:$C$114,0)-1,0)</f>
        <v>1563.7</v>
      </c>
      <c r="L30" s="88">
        <f ca="1">912.3*OFFSET(L$113,MATCH($N$1,$C$113:$C$114,0)-1,0)</f>
        <v>912.3</v>
      </c>
      <c r="M30" s="88">
        <f ca="1">1147*OFFSET(M$113,MATCH($N$1,$C$113:$C$114,0)-1,0)</f>
        <v>1147</v>
      </c>
      <c r="N30" s="88">
        <v>1033.4000000000001</v>
      </c>
      <c r="O30" s="84">
        <f t="shared" ca="1" si="0"/>
        <v>0.2087963504503452</v>
      </c>
      <c r="P30" s="84">
        <f t="shared" ca="1" si="1"/>
        <v>-0.12932850282247871</v>
      </c>
    </row>
    <row r="31" spans="1:16" s="78" customFormat="1" ht="18" customHeight="1">
      <c r="A31" s="192"/>
      <c r="B31" s="85" t="s">
        <v>212</v>
      </c>
      <c r="C31" s="86"/>
      <c r="D31" s="86">
        <f ca="1">201.3*OFFSET(D$113,MATCH($N$1,$C$113:$C$114,0)-1,0)</f>
        <v>201.3</v>
      </c>
      <c r="E31" s="86">
        <f ca="1">221.3*OFFSET(E$113,MATCH($N$1,$C$113:$C$114,0)-1,0)</f>
        <v>221.3</v>
      </c>
      <c r="F31" s="86">
        <f ca="1">202.7*OFFSET(F$113,MATCH($N$1,$C$113:$C$114,0)-1,0)</f>
        <v>202.7</v>
      </c>
      <c r="G31" s="86">
        <f ca="1">147.9*OFFSET(G$113,MATCH($N$1,$C$113:$C$114,0)-1,0)</f>
        <v>147.9</v>
      </c>
      <c r="H31" s="86">
        <f ca="1">145.9*OFFSET(H$113,MATCH($N$1,$C$113:$C$114,0)-1,0)</f>
        <v>145.9</v>
      </c>
      <c r="I31" s="86">
        <f ca="1">173.9*OFFSET(I$113,MATCH($N$1,$C$113:$C$114,0)-1,0)</f>
        <v>173.9</v>
      </c>
      <c r="J31" s="86">
        <f ca="1">230.8*OFFSET(J$113,MATCH($N$1,$C$113:$C$114,0)-1,0)</f>
        <v>230.8</v>
      </c>
      <c r="K31" s="86">
        <f ca="1">232.7*OFFSET(K$113,MATCH($N$1,$C$113:$C$114,0)-1,0)</f>
        <v>232.7</v>
      </c>
      <c r="L31" s="86">
        <f ca="1">135.5*OFFSET(L$113,MATCH($N$1,$C$113:$C$114,0)-1,0)</f>
        <v>135.5</v>
      </c>
      <c r="M31" s="86">
        <f ca="1">201.8*OFFSET(M$113,MATCH($N$1,$C$113:$C$114,0)-1,0)</f>
        <v>201.8</v>
      </c>
      <c r="N31" s="86">
        <v>291.7</v>
      </c>
      <c r="O31" s="84">
        <f t="shared" ca="1" si="0"/>
        <v>0.44908097367113747</v>
      </c>
      <c r="P31" s="84">
        <f t="shared" ca="1" si="1"/>
        <v>0.26386481802426331</v>
      </c>
    </row>
    <row r="32" spans="1:16" s="78" customFormat="1" ht="18" customHeight="1">
      <c r="A32" s="192"/>
      <c r="B32" s="85" t="s">
        <v>213</v>
      </c>
      <c r="C32" s="86"/>
      <c r="D32" s="86">
        <f ca="1">185.5*OFFSET(D$113,MATCH($N$1,$C$113:$C$114,0)-1,0)</f>
        <v>185.5</v>
      </c>
      <c r="E32" s="86">
        <f ca="1">186.5*OFFSET(E$113,MATCH($N$1,$C$113:$C$114,0)-1,0)</f>
        <v>186.5</v>
      </c>
      <c r="F32" s="86">
        <f ca="1">189.4*OFFSET(F$113,MATCH($N$1,$C$113:$C$114,0)-1,0)</f>
        <v>189.4</v>
      </c>
      <c r="G32" s="86">
        <f ca="1">183.2*OFFSET(G$113,MATCH($N$1,$C$113:$C$114,0)-1,0)</f>
        <v>183.2</v>
      </c>
      <c r="H32" s="86">
        <f ca="1">279.1*OFFSET(H$113,MATCH($N$1,$C$113:$C$114,0)-1,0)</f>
        <v>279.10000000000002</v>
      </c>
      <c r="I32" s="86">
        <f ca="1">336.1*OFFSET(I$113,MATCH($N$1,$C$113:$C$114,0)-1,0)</f>
        <v>336.1</v>
      </c>
      <c r="J32" s="86">
        <f ca="1">297.3*OFFSET(J$113,MATCH($N$1,$C$113:$C$114,0)-1,0)</f>
        <v>297.3</v>
      </c>
      <c r="K32" s="86">
        <f ca="1">378.5*OFFSET(K$113,MATCH($N$1,$C$113:$C$114,0)-1,0)</f>
        <v>378.5</v>
      </c>
      <c r="L32" s="86">
        <f ca="1">224.8*OFFSET(L$113,MATCH($N$1,$C$113:$C$114,0)-1,0)</f>
        <v>224.8</v>
      </c>
      <c r="M32" s="86">
        <f ca="1">244.9*OFFSET(M$113,MATCH($N$1,$C$113:$C$114,0)-1,0)</f>
        <v>244.9</v>
      </c>
      <c r="N32" s="86">
        <v>175.70000000000002</v>
      </c>
      <c r="O32" s="84">
        <f t="shared" ca="1" si="0"/>
        <v>-5.2830188679245188E-2</v>
      </c>
      <c r="P32" s="84">
        <f t="shared" ca="1" si="1"/>
        <v>-0.40901446350487719</v>
      </c>
    </row>
    <row r="33" spans="1:16" s="78" customFormat="1" ht="18" customHeight="1">
      <c r="A33" s="192"/>
      <c r="B33" s="85" t="s">
        <v>214</v>
      </c>
      <c r="C33" s="86"/>
      <c r="D33" s="86">
        <f ca="1">214.8*OFFSET(D$113,MATCH($N$1,$C$113:$C$114,0)-1,0)</f>
        <v>214.8</v>
      </c>
      <c r="E33" s="86">
        <f ca="1">196.4*OFFSET(E$113,MATCH($N$1,$C$113:$C$114,0)-1,0)</f>
        <v>196.4</v>
      </c>
      <c r="F33" s="86">
        <f ca="1">244.4*OFFSET(F$113,MATCH($N$1,$C$113:$C$114,0)-1,0)</f>
        <v>244.4</v>
      </c>
      <c r="G33" s="86">
        <f ca="1">244.8*OFFSET(G$113,MATCH($N$1,$C$113:$C$114,0)-1,0)</f>
        <v>244.8</v>
      </c>
      <c r="H33" s="86">
        <f ca="1">337.7*OFFSET(H$113,MATCH($N$1,$C$113:$C$114,0)-1,0)</f>
        <v>337.7</v>
      </c>
      <c r="I33" s="86">
        <f ca="1">359.1*OFFSET(I$113,MATCH($N$1,$C$113:$C$114,0)-1,0)</f>
        <v>359.1</v>
      </c>
      <c r="J33" s="86">
        <f ca="1">300.2*OFFSET(J$113,MATCH($N$1,$C$113:$C$114,0)-1,0)</f>
        <v>300.2</v>
      </c>
      <c r="K33" s="86">
        <f ca="1">346*OFFSET(K$113,MATCH($N$1,$C$113:$C$114,0)-1,0)</f>
        <v>346</v>
      </c>
      <c r="L33" s="86">
        <f ca="1">205.6*OFFSET(L$113,MATCH($N$1,$C$113:$C$114,0)-1,0)</f>
        <v>205.6</v>
      </c>
      <c r="M33" s="86">
        <f ca="1">272.5*OFFSET(M$113,MATCH($N$1,$C$113:$C$114,0)-1,0)</f>
        <v>272.5</v>
      </c>
      <c r="N33" s="86">
        <v>245.5</v>
      </c>
      <c r="O33" s="84">
        <f t="shared" ca="1" si="0"/>
        <v>0.14292364990689008</v>
      </c>
      <c r="P33" s="84">
        <f t="shared" ca="1" si="1"/>
        <v>-0.18221185876082607</v>
      </c>
    </row>
    <row r="34" spans="1:16" s="78" customFormat="1" ht="18" customHeight="1">
      <c r="A34" s="192"/>
      <c r="B34" s="85" t="s">
        <v>215</v>
      </c>
      <c r="C34" s="86"/>
      <c r="D34" s="86">
        <f ca="1">601.6*OFFSET(D$113,MATCH($N$1,$C$113:$C$114,0)-1,0)</f>
        <v>601.6</v>
      </c>
      <c r="E34" s="86">
        <f ca="1">604.2*OFFSET(E$113,MATCH($N$1,$C$113:$C$114,0)-1,0)</f>
        <v>604.20000000000005</v>
      </c>
      <c r="F34" s="86">
        <f ca="1">636.6*OFFSET(F$113,MATCH($N$1,$C$113:$C$114,0)-1,0)</f>
        <v>636.6</v>
      </c>
      <c r="G34" s="86">
        <f ca="1">576*OFFSET(G$113,MATCH($N$1,$C$113:$C$114,0)-1,0)</f>
        <v>576</v>
      </c>
      <c r="H34" s="86">
        <f ca="1">762.7*OFFSET(H$113,MATCH($N$1,$C$113:$C$114,0)-1,0)</f>
        <v>762.7</v>
      </c>
      <c r="I34" s="86">
        <f ca="1">869.1*OFFSET(I$113,MATCH($N$1,$C$113:$C$114,0)-1,0)</f>
        <v>869.1</v>
      </c>
      <c r="J34" s="86">
        <f ca="1">828.3*OFFSET(J$113,MATCH($N$1,$C$113:$C$114,0)-1,0)</f>
        <v>828.3</v>
      </c>
      <c r="K34" s="86">
        <f ca="1">957.1*OFFSET(K$113,MATCH($N$1,$C$113:$C$114,0)-1,0)</f>
        <v>957.1</v>
      </c>
      <c r="L34" s="86">
        <f ca="1">565.9*OFFSET(L$113,MATCH($N$1,$C$113:$C$114,0)-1,0)</f>
        <v>565.9</v>
      </c>
      <c r="M34" s="86">
        <f ca="1">719.2*OFFSET(M$113,MATCH($N$1,$C$113:$C$114,0)-1,0)</f>
        <v>719.2</v>
      </c>
      <c r="N34" s="86">
        <v>712.9</v>
      </c>
      <c r="O34" s="84">
        <f t="shared" ca="1" si="0"/>
        <v>0.18500664893617014</v>
      </c>
      <c r="P34" s="84">
        <f t="shared" ca="1" si="1"/>
        <v>-0.13932150187130266</v>
      </c>
    </row>
    <row r="35" spans="1:16" s="78" customFormat="1" ht="18" customHeight="1">
      <c r="A35" s="192"/>
      <c r="B35" s="85" t="s">
        <v>216</v>
      </c>
      <c r="C35" s="86"/>
      <c r="D35" s="86">
        <f ca="1">182*OFFSET(D$113,MATCH($N$1,$C$113:$C$114,0)-1,0)</f>
        <v>182</v>
      </c>
      <c r="E35" s="86">
        <f ca="1">203.3*OFFSET(E$113,MATCH($N$1,$C$113:$C$114,0)-1,0)</f>
        <v>203.3</v>
      </c>
      <c r="F35" s="86">
        <f ca="1">202.6*OFFSET(F$113,MATCH($N$1,$C$113:$C$114,0)-1,0)</f>
        <v>202.6</v>
      </c>
      <c r="G35" s="86">
        <f ca="1">169.9*OFFSET(G$113,MATCH($N$1,$C$113:$C$114,0)-1,0)</f>
        <v>169.9</v>
      </c>
      <c r="H35" s="86">
        <f ca="1">213.8*OFFSET(H$113,MATCH($N$1,$C$113:$C$114,0)-1,0)</f>
        <v>213.8</v>
      </c>
      <c r="I35" s="86">
        <f ca="1">197.8*OFFSET(I$113,MATCH($N$1,$C$113:$C$114,0)-1,0)</f>
        <v>197.8</v>
      </c>
      <c r="J35" s="86">
        <f ca="1">201.6*OFFSET(J$113,MATCH($N$1,$C$113:$C$114,0)-1,0)</f>
        <v>201.6</v>
      </c>
      <c r="K35" s="86">
        <f ca="1">251.2*OFFSET(K$113,MATCH($N$1,$C$113:$C$114,0)-1,0)</f>
        <v>251.2</v>
      </c>
      <c r="L35" s="86">
        <f ca="1">231*OFFSET(L$113,MATCH($N$1,$C$113:$C$114,0)-1,0)</f>
        <v>231</v>
      </c>
      <c r="M35" s="86">
        <f ca="1">234.7*OFFSET(M$113,MATCH($N$1,$C$113:$C$114,0)-1,0)</f>
        <v>234.7</v>
      </c>
      <c r="N35" s="86">
        <v>211.5</v>
      </c>
      <c r="O35" s="84">
        <f t="shared" ca="1" si="0"/>
        <v>0.16208791208791209</v>
      </c>
      <c r="P35" s="84">
        <f t="shared" ca="1" si="1"/>
        <v>4.9107142857142884E-2</v>
      </c>
    </row>
    <row r="36" spans="1:16" s="78" customFormat="1" ht="18" customHeight="1">
      <c r="A36" s="192"/>
      <c r="B36" s="85" t="s">
        <v>217</v>
      </c>
      <c r="C36" s="86"/>
      <c r="D36" s="86">
        <f ca="1">783.6*OFFSET(D$113,MATCH($N$1,$C$113:$C$114,0)-1,0)</f>
        <v>783.6</v>
      </c>
      <c r="E36" s="86">
        <f ca="1">807.5*OFFSET(E$113,MATCH($N$1,$C$113:$C$114,0)-1,0)</f>
        <v>807.5</v>
      </c>
      <c r="F36" s="86">
        <f ca="1">839.2*OFFSET(F$113,MATCH($N$1,$C$113:$C$114,0)-1,0)</f>
        <v>839.2</v>
      </c>
      <c r="G36" s="86">
        <f ca="1">745.9*OFFSET(G$113,MATCH($N$1,$C$113:$C$114,0)-1,0)</f>
        <v>745.9</v>
      </c>
      <c r="H36" s="86">
        <f ca="1">976.5*OFFSET(H$113,MATCH($N$1,$C$113:$C$114,0)-1,0)</f>
        <v>976.5</v>
      </c>
      <c r="I36" s="86">
        <f ca="1">1066.9*OFFSET(I$113,MATCH($N$1,$C$113:$C$114,0)-1,0)</f>
        <v>1066.9000000000001</v>
      </c>
      <c r="J36" s="86">
        <f ca="1">1029.9*OFFSET(J$113,MATCH($N$1,$C$113:$C$114,0)-1,0)</f>
        <v>1029.9000000000001</v>
      </c>
      <c r="K36" s="86">
        <f ca="1">1208.3*OFFSET(K$113,MATCH($N$1,$C$113:$C$114,0)-1,0)</f>
        <v>1208.3</v>
      </c>
      <c r="L36" s="86">
        <f ca="1">796.9*OFFSET(L$113,MATCH($N$1,$C$113:$C$114,0)-1,0)</f>
        <v>796.9</v>
      </c>
      <c r="M36" s="86">
        <f ca="1">953.9*OFFSET(M$113,MATCH($N$1,$C$113:$C$114,0)-1,0)</f>
        <v>953.9</v>
      </c>
      <c r="N36" s="86">
        <v>924.4</v>
      </c>
      <c r="O36" s="84">
        <f t="shared" ca="1" si="0"/>
        <v>0.17968351199591623</v>
      </c>
      <c r="P36" s="84">
        <f t="shared" ca="1" si="1"/>
        <v>-0.10243712981842908</v>
      </c>
    </row>
    <row r="37" spans="1:16" s="78" customFormat="1" ht="18" customHeight="1">
      <c r="A37" s="192"/>
      <c r="B37" s="87" t="s">
        <v>218</v>
      </c>
      <c r="C37" s="88"/>
      <c r="D37" s="88">
        <f ca="1">256.8*OFFSET(D$113,MATCH($N$1,$C$113:$C$114,0)-1,0)</f>
        <v>256.8</v>
      </c>
      <c r="E37" s="88">
        <f ca="1">334.3*OFFSET(E$113,MATCH($N$1,$C$113:$C$114,0)-1,0)</f>
        <v>334.3</v>
      </c>
      <c r="F37" s="88">
        <f ca="1">347.6*OFFSET(F$113,MATCH($N$1,$C$113:$C$114,0)-1,0)</f>
        <v>347.6</v>
      </c>
      <c r="G37" s="88">
        <f ca="1">288.3*OFFSET(G$113,MATCH($N$1,$C$113:$C$114,0)-1,0)</f>
        <v>288.3</v>
      </c>
      <c r="H37" s="88">
        <f ca="1">491*OFFSET(H$113,MATCH($N$1,$C$113:$C$114,0)-1,0)</f>
        <v>491</v>
      </c>
      <c r="I37" s="88">
        <f ca="1">731.5*OFFSET(I$113,MATCH($N$1,$C$113:$C$114,0)-1,0)</f>
        <v>731.5</v>
      </c>
      <c r="J37" s="88">
        <f ca="1">454.3*OFFSET(J$113,MATCH($N$1,$C$113:$C$114,0)-1,0)</f>
        <v>454.3</v>
      </c>
      <c r="K37" s="88">
        <f ca="1">733.8*OFFSET(K$113,MATCH($N$1,$C$113:$C$114,0)-1,0)</f>
        <v>733.8</v>
      </c>
      <c r="L37" s="88">
        <f ca="1">340.2*OFFSET(L$113,MATCH($N$1,$C$113:$C$114,0)-1,0)</f>
        <v>340.2</v>
      </c>
      <c r="M37" s="88">
        <f ca="1">438*OFFSET(M$113,MATCH($N$1,$C$113:$C$114,0)-1,0)</f>
        <v>438</v>
      </c>
      <c r="N37" s="88">
        <v>284.70000000000005</v>
      </c>
      <c r="O37" s="84">
        <f t="shared" ca="1" si="0"/>
        <v>0.10864485981308424</v>
      </c>
      <c r="P37" s="84">
        <f t="shared" ca="1" si="1"/>
        <v>-0.3733215936605766</v>
      </c>
    </row>
    <row r="38" spans="1:16" s="78" customFormat="1" ht="18" customHeight="1">
      <c r="A38" s="192"/>
      <c r="B38" s="87" t="s">
        <v>219</v>
      </c>
      <c r="C38" s="88"/>
      <c r="D38" s="88">
        <f ca="1">71.3*OFFSET(D$113,MATCH($N$1,$C$113:$C$114,0)-1,0)</f>
        <v>71.3</v>
      </c>
      <c r="E38" s="88">
        <f ca="1">147.8*OFFSET(E$113,MATCH($N$1,$C$113:$C$114,0)-1,0)</f>
        <v>147.80000000000001</v>
      </c>
      <c r="F38" s="88">
        <f ca="1">158.2*OFFSET(F$113,MATCH($N$1,$C$113:$C$114,0)-1,0)</f>
        <v>158.19999999999999</v>
      </c>
      <c r="G38" s="88">
        <f ca="1">105.1*OFFSET(G$113,MATCH($N$1,$C$113:$C$114,0)-1,0)</f>
        <v>105.1</v>
      </c>
      <c r="H38" s="88">
        <f ca="1">211.9*OFFSET(H$113,MATCH($N$1,$C$113:$C$114,0)-1,0)</f>
        <v>211.9</v>
      </c>
      <c r="I38" s="88">
        <f ca="1">395.4*OFFSET(I$113,MATCH($N$1,$C$113:$C$114,0)-1,0)</f>
        <v>395.4</v>
      </c>
      <c r="J38" s="88">
        <f ca="1">157*OFFSET(J$113,MATCH($N$1,$C$113:$C$114,0)-1,0)</f>
        <v>157</v>
      </c>
      <c r="K38" s="88">
        <f ca="1">355.3*OFFSET(K$113,MATCH($N$1,$C$113:$C$114,0)-1,0)</f>
        <v>355.3</v>
      </c>
      <c r="L38" s="88">
        <f ca="1">115.4*OFFSET(L$113,MATCH($N$1,$C$113:$C$114,0)-1,0)</f>
        <v>115.4</v>
      </c>
      <c r="M38" s="88">
        <f ca="1">193.1*OFFSET(M$113,MATCH($N$1,$C$113:$C$114,0)-1,0)</f>
        <v>193.1</v>
      </c>
      <c r="N38" s="88">
        <v>109</v>
      </c>
      <c r="O38" s="84">
        <f t="shared" ca="1" si="0"/>
        <v>0.52875175315568024</v>
      </c>
      <c r="P38" s="84">
        <f t="shared" ca="1" si="1"/>
        <v>-0.30573248407643311</v>
      </c>
    </row>
    <row r="39" spans="1:16" s="78" customFormat="1" ht="18" customHeight="1">
      <c r="A39" s="192"/>
      <c r="B39" s="85" t="s">
        <v>220</v>
      </c>
      <c r="C39" s="86"/>
      <c r="D39" s="86">
        <f ca="1">46.8*OFFSET(D$113,MATCH($N$1,$C$113:$C$114,0)-1,0)</f>
        <v>46.8</v>
      </c>
      <c r="E39" s="86">
        <f ca="1">56.1*OFFSET(E$113,MATCH($N$1,$C$113:$C$114,0)-1,0)</f>
        <v>56.1</v>
      </c>
      <c r="F39" s="86">
        <f ca="1">57.2*OFFSET(F$113,MATCH($N$1,$C$113:$C$114,0)-1,0)</f>
        <v>57.2</v>
      </c>
      <c r="G39" s="86">
        <f ca="1">41.8*OFFSET(G$113,MATCH($N$1,$C$113:$C$114,0)-1,0)</f>
        <v>41.8</v>
      </c>
      <c r="H39" s="86">
        <f ca="1">38.6*OFFSET(H$113,MATCH($N$1,$C$113:$C$114,0)-1,0)</f>
        <v>38.6</v>
      </c>
      <c r="I39" s="86">
        <f ca="1">44.8*OFFSET(I$113,MATCH($N$1,$C$113:$C$114,0)-1,0)</f>
        <v>44.8</v>
      </c>
      <c r="J39" s="86">
        <f ca="1">63.6*OFFSET(J$113,MATCH($N$1,$C$113:$C$114,0)-1,0)</f>
        <v>63.6</v>
      </c>
      <c r="K39" s="86">
        <f ca="1">73.6*OFFSET(K$113,MATCH($N$1,$C$113:$C$114,0)-1,0)</f>
        <v>73.599999999999994</v>
      </c>
      <c r="L39" s="86">
        <f ca="1">49.2*OFFSET(L$113,MATCH($N$1,$C$113:$C$114,0)-1,0)</f>
        <v>49.2</v>
      </c>
      <c r="M39" s="86">
        <f ca="1">45.6*OFFSET(M$113,MATCH($N$1,$C$113:$C$114,0)-1,0)</f>
        <v>45.6</v>
      </c>
      <c r="N39" s="86"/>
      <c r="O39" s="84" t="str">
        <f t="shared" si="0"/>
        <v/>
      </c>
      <c r="P39" s="84" t="str">
        <f t="shared" si="1"/>
        <v/>
      </c>
    </row>
    <row r="40" spans="1:16" s="78" customFormat="1" ht="18" customHeight="1">
      <c r="A40" s="192"/>
      <c r="B40" s="85" t="s">
        <v>221</v>
      </c>
      <c r="C40" s="86"/>
      <c r="D40" s="86">
        <f ca="1">21.1*OFFSET(D$113,MATCH($N$1,$C$113:$C$114,0)-1,0)</f>
        <v>21.1</v>
      </c>
      <c r="E40" s="86">
        <f ca="1">12.1*OFFSET(E$113,MATCH($N$1,$C$113:$C$114,0)-1,0)</f>
        <v>12.1</v>
      </c>
      <c r="F40" s="86">
        <f ca="1">11.6*OFFSET(F$113,MATCH($N$1,$C$113:$C$114,0)-1,0)</f>
        <v>11.6</v>
      </c>
      <c r="G40" s="86">
        <f ca="1">11.2*OFFSET(G$113,MATCH($N$1,$C$113:$C$114,0)-1,0)</f>
        <v>11.2</v>
      </c>
      <c r="H40" s="86">
        <f ca="1">9.7*OFFSET(H$113,MATCH($N$1,$C$113:$C$114,0)-1,0)</f>
        <v>9.6999999999999993</v>
      </c>
      <c r="I40" s="86">
        <f ca="1">7.6*OFFSET(I$113,MATCH($N$1,$C$113:$C$114,0)-1,0)</f>
        <v>7.6</v>
      </c>
      <c r="J40" s="86">
        <f ca="1">8.1*OFFSET(J$113,MATCH($N$1,$C$113:$C$114,0)-1,0)</f>
        <v>8.1</v>
      </c>
      <c r="K40" s="86">
        <f ca="1">13.1*OFFSET(K$113,MATCH($N$1,$C$113:$C$114,0)-1,0)</f>
        <v>13.1</v>
      </c>
      <c r="L40" s="86">
        <f ca="1">12.3*OFFSET(L$113,MATCH($N$1,$C$113:$C$114,0)-1,0)</f>
        <v>12.3</v>
      </c>
      <c r="M40" s="86">
        <f ca="1">25.9*OFFSET(M$113,MATCH($N$1,$C$113:$C$114,0)-1,0)</f>
        <v>25.9</v>
      </c>
      <c r="N40" s="86"/>
      <c r="O40" s="84" t="str">
        <f t="shared" si="0"/>
        <v/>
      </c>
      <c r="P40" s="84" t="str">
        <f t="shared" si="1"/>
        <v/>
      </c>
    </row>
    <row r="41" spans="1:16" s="78" customFormat="1" ht="18" customHeight="1">
      <c r="A41" s="192"/>
      <c r="B41" s="85" t="s">
        <v>222</v>
      </c>
      <c r="C41" s="86"/>
      <c r="D41" s="86">
        <f ca="1">1.1*OFFSET(D$113,MATCH($N$1,$C$113:$C$114,0)-1,0)</f>
        <v>1.1000000000000001</v>
      </c>
      <c r="E41" s="86">
        <f ca="1">4.3*OFFSET(E$113,MATCH($N$1,$C$113:$C$114,0)-1,0)</f>
        <v>4.3</v>
      </c>
      <c r="F41" s="86">
        <f ca="1">5.9*OFFSET(F$113,MATCH($N$1,$C$113:$C$114,0)-1,0)</f>
        <v>5.9</v>
      </c>
      <c r="G41" s="86">
        <f ca="1">3.1*OFFSET(G$113,MATCH($N$1,$C$113:$C$114,0)-1,0)</f>
        <v>3.1</v>
      </c>
      <c r="H41" s="86">
        <f ca="1">2.4*OFFSET(H$113,MATCH($N$1,$C$113:$C$114,0)-1,0)</f>
        <v>2.4</v>
      </c>
      <c r="I41" s="86">
        <f ca="1">9.2*OFFSET(I$113,MATCH($N$1,$C$113:$C$114,0)-1,0)</f>
        <v>9.1999999999999993</v>
      </c>
      <c r="J41" s="86">
        <f ca="1">5.6*OFFSET(J$113,MATCH($N$1,$C$113:$C$114,0)-1,0)</f>
        <v>5.6</v>
      </c>
      <c r="K41" s="86">
        <f ca="1">5.3*OFFSET(K$113,MATCH($N$1,$C$113:$C$114,0)-1,0)</f>
        <v>5.3</v>
      </c>
      <c r="L41" s="86">
        <f ca="1">20.9*OFFSET(L$113,MATCH($N$1,$C$113:$C$114,0)-1,0)</f>
        <v>20.9</v>
      </c>
      <c r="M41" s="86">
        <f ca="1">5.9*OFFSET(M$113,MATCH($N$1,$C$113:$C$114,0)-1,0)</f>
        <v>5.9</v>
      </c>
      <c r="N41" s="86"/>
      <c r="O41" s="84" t="str">
        <f t="shared" si="0"/>
        <v/>
      </c>
      <c r="P41" s="84" t="str">
        <f t="shared" si="1"/>
        <v/>
      </c>
    </row>
    <row r="42" spans="1:16" s="78" customFormat="1" ht="18" customHeight="1" thickBot="1">
      <c r="A42" s="193"/>
      <c r="B42" s="89" t="s">
        <v>223</v>
      </c>
      <c r="C42" s="90"/>
      <c r="D42" s="90">
        <f ca="1">2.3*OFFSET(D$113,MATCH($N$1,$C$113:$C$114,0)-1,0)</f>
        <v>2.2999999999999998</v>
      </c>
      <c r="E42" s="90">
        <f ca="1">75.2*OFFSET(E$113,MATCH($N$1,$C$113:$C$114,0)-1,0)</f>
        <v>75.2</v>
      </c>
      <c r="F42" s="90">
        <f ca="1">83.5*OFFSET(F$113,MATCH($N$1,$C$113:$C$114,0)-1,0)</f>
        <v>83.5</v>
      </c>
      <c r="G42" s="90">
        <f ca="1">49*OFFSET(G$113,MATCH($N$1,$C$113:$C$114,0)-1,0)</f>
        <v>49</v>
      </c>
      <c r="H42" s="90">
        <f ca="1">161.2*OFFSET(H$113,MATCH($N$1,$C$113:$C$114,0)-1,0)</f>
        <v>161.19999999999999</v>
      </c>
      <c r="I42" s="90">
        <f ca="1">333.9*OFFSET(I$113,MATCH($N$1,$C$113:$C$114,0)-1,0)</f>
        <v>333.9</v>
      </c>
      <c r="J42" s="90">
        <f ca="1">79.7*OFFSET(J$113,MATCH($N$1,$C$113:$C$114,0)-1,0)</f>
        <v>79.7</v>
      </c>
      <c r="K42" s="90">
        <f ca="1">263.4*OFFSET(K$113,MATCH($N$1,$C$113:$C$114,0)-1,0)</f>
        <v>263.39999999999998</v>
      </c>
      <c r="L42" s="90">
        <f ca="1">33.1*OFFSET(L$113,MATCH($N$1,$C$113:$C$114,0)-1,0)</f>
        <v>33.1</v>
      </c>
      <c r="M42" s="90">
        <f ca="1">115.7*OFFSET(M$113,MATCH($N$1,$C$113:$C$114,0)-1,0)</f>
        <v>115.7</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160</v>
      </c>
      <c r="G47" s="99" t="s">
        <v>171</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NSWOS demersal under 24m over 300kW</v>
      </c>
      <c r="C49" s="101"/>
      <c r="D49" s="101"/>
      <c r="E49" s="101"/>
      <c r="F49" s="101"/>
      <c r="G49" s="101"/>
      <c r="K49" s="101" t="str">
        <f>$B25&amp;CHAR(10)&amp;$A$1</f>
        <v>Operating profit per kW day at sea (£)
NSWOS demersal under 24m over 300kW</v>
      </c>
    </row>
    <row r="50" spans="1:11" s="78" customFormat="1">
      <c r="A50" s="101" t="str">
        <f>$B23&amp;CHAR(10)&amp;$A$1</f>
        <v>Fishing income per kW day at sea (£)
NSWOS demersal under 24m over 300kW</v>
      </c>
    </row>
    <row r="51" spans="1:11" s="78" customFormat="1">
      <c r="A51" s="101" t="str">
        <f>$B21&amp;CHAR(10)&amp;$A$1</f>
        <v>Average price per tonne landed (£)
NSWOS demersal under 24m over 300kW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NSWOS demersal under 24m over 300kW</v>
      </c>
      <c r="F63" s="101" t="str">
        <f>$B21&amp;CHAR(10)&amp;$A$1</f>
        <v>Average price per tonne landed (£)
NSWOS demersal under 24m over 300kW</v>
      </c>
      <c r="K63" s="101" t="str">
        <f>"Average annual operating profit per vessel (£'000)"&amp;CHAR(10)&amp;$A$1</f>
        <v>Average annual operating profit per vessel (£'000)
NSWOS demersal under 24m over 300kW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NSWOS demersal under 24m over 300kW</v>
      </c>
      <c r="F77" s="101" t="str">
        <f>"Top 5 landed species by value in "&amp;A78&amp;CHAR(10)&amp;A1</f>
        <v>Top 5 landed species by value in 2021
NSWOS demersal under 24m over 300kW</v>
      </c>
    </row>
    <row r="78" spans="1:11" s="101" customFormat="1">
      <c r="A78" s="101">
        <v>2021</v>
      </c>
      <c r="B78" s="101" t="s">
        <v>486</v>
      </c>
      <c r="C78" s="102">
        <v>0.24750359315914447</v>
      </c>
      <c r="D78" s="103">
        <v>12153634</v>
      </c>
      <c r="G78" s="101" t="s">
        <v>487</v>
      </c>
      <c r="H78" s="102">
        <v>0.3138507117413048</v>
      </c>
      <c r="I78" s="103">
        <v>12153634</v>
      </c>
      <c r="K78" s="101" t="s">
        <v>237</v>
      </c>
    </row>
    <row r="79" spans="1:11" s="101" customFormat="1">
      <c r="B79" s="101" t="s">
        <v>488</v>
      </c>
      <c r="C79" s="102">
        <v>0.12395270549370944</v>
      </c>
      <c r="D79" s="103">
        <v>3689192</v>
      </c>
      <c r="G79" s="101" t="s">
        <v>489</v>
      </c>
      <c r="H79" s="102">
        <v>0.14552970503378232</v>
      </c>
      <c r="I79" s="103">
        <v>553960</v>
      </c>
    </row>
    <row r="80" spans="1:11" s="101" customFormat="1">
      <c r="B80" s="101" t="s">
        <v>490</v>
      </c>
      <c r="C80" s="102">
        <v>0.11070605396809592</v>
      </c>
      <c r="D80" s="103">
        <v>11115023</v>
      </c>
      <c r="G80" s="101" t="s">
        <v>491</v>
      </c>
      <c r="H80" s="102">
        <v>0.13156022699371991</v>
      </c>
      <c r="I80" s="103">
        <v>3050596</v>
      </c>
    </row>
    <row r="81" spans="1:19" s="101" customFormat="1">
      <c r="B81" s="101" t="s">
        <v>492</v>
      </c>
      <c r="C81" s="102">
        <v>0.1031397324936308</v>
      </c>
      <c r="D81" s="103">
        <v>553960</v>
      </c>
      <c r="G81" s="101" t="s">
        <v>493</v>
      </c>
      <c r="H81" s="102">
        <v>0.12065074510354121</v>
      </c>
      <c r="I81" s="103">
        <v>1692097</v>
      </c>
    </row>
    <row r="82" spans="1:19" s="101" customFormat="1">
      <c r="B82" s="101" t="s">
        <v>494</v>
      </c>
      <c r="C82" s="102">
        <v>9.798683202774669E-2</v>
      </c>
      <c r="D82" s="103">
        <v>1692097</v>
      </c>
      <c r="G82" s="101" t="s">
        <v>495</v>
      </c>
      <c r="H82" s="102">
        <v>7.6484599127035077E-2</v>
      </c>
      <c r="I82" s="103">
        <v>3689192</v>
      </c>
    </row>
    <row r="83" spans="1:19" s="101" customFormat="1">
      <c r="B83" s="101" t="s">
        <v>496</v>
      </c>
      <c r="C83" s="102">
        <v>0.31671108285767269</v>
      </c>
      <c r="D83" s="103">
        <v>5920853</v>
      </c>
      <c r="G83" s="101" t="s">
        <v>497</v>
      </c>
      <c r="H83" s="102">
        <v>0.21192401200061661</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161</v>
      </c>
      <c r="D93" s="107">
        <v>0.20586088664087801</v>
      </c>
      <c r="E93" s="107">
        <v>0.20885299978592098</v>
      </c>
      <c r="F93" s="107">
        <v>0.25508867845839367</v>
      </c>
      <c r="G93" s="107">
        <v>0.29530025006217131</v>
      </c>
      <c r="H93" s="107">
        <v>0.28227266075242791</v>
      </c>
      <c r="I93" s="107">
        <v>0.27400465491906034</v>
      </c>
      <c r="J93" s="107">
        <v>0.25441751949445529</v>
      </c>
      <c r="K93" s="107">
        <v>0.27226395950552773</v>
      </c>
      <c r="L93" s="107">
        <v>0.3138507117413048</v>
      </c>
      <c r="M93" s="107">
        <v>0.2913004461842208</v>
      </c>
      <c r="O93" s="101">
        <v>12153634</v>
      </c>
    </row>
    <row r="94" spans="1:19" s="101" customFormat="1" hidden="1">
      <c r="B94" s="101">
        <v>2</v>
      </c>
      <c r="C94" s="101" t="s">
        <v>321</v>
      </c>
      <c r="D94" s="107">
        <v>9.2661210214459305E-2</v>
      </c>
      <c r="E94" s="107">
        <v>7.7703531947885845E-2</v>
      </c>
      <c r="F94" s="107">
        <v>5.6568036055150386E-2</v>
      </c>
      <c r="G94" s="107"/>
      <c r="H94" s="107">
        <v>6.0733635706837819E-2</v>
      </c>
      <c r="I94" s="107">
        <v>6.3180935807107375E-2</v>
      </c>
      <c r="J94" s="107">
        <v>8.8788185714813408E-2</v>
      </c>
      <c r="K94" s="107">
        <v>0.13545889154727461</v>
      </c>
      <c r="L94" s="107">
        <v>0.14552970503378232</v>
      </c>
      <c r="M94" s="107">
        <v>0.11255111156973842</v>
      </c>
      <c r="O94" s="101">
        <v>553960</v>
      </c>
    </row>
    <row r="95" spans="1:19" s="101" customFormat="1" hidden="1">
      <c r="B95" s="101">
        <v>3</v>
      </c>
      <c r="C95" s="101" t="s">
        <v>168</v>
      </c>
      <c r="D95" s="107">
        <v>0.1392130912196477</v>
      </c>
      <c r="E95" s="107">
        <v>0.15020085804199765</v>
      </c>
      <c r="F95" s="107">
        <v>0.14744146143074563</v>
      </c>
      <c r="G95" s="107">
        <v>0.15334605610639487</v>
      </c>
      <c r="H95" s="107">
        <v>0.16319724673375047</v>
      </c>
      <c r="I95" s="107">
        <v>0.16794401591349684</v>
      </c>
      <c r="J95" s="107">
        <v>0.21812396051993727</v>
      </c>
      <c r="K95" s="107">
        <v>0.14526413080512693</v>
      </c>
      <c r="L95" s="107">
        <v>0.13156022699371991</v>
      </c>
      <c r="M95" s="107">
        <v>0.15180677777852963</v>
      </c>
      <c r="O95" s="101">
        <v>3050596</v>
      </c>
    </row>
    <row r="96" spans="1:19" s="101" customFormat="1" hidden="1">
      <c r="B96" s="101">
        <v>4</v>
      </c>
      <c r="C96" s="101" t="s">
        <v>159</v>
      </c>
      <c r="D96" s="107">
        <v>0.10786903147891962</v>
      </c>
      <c r="E96" s="107">
        <v>0.12698797115171784</v>
      </c>
      <c r="F96" s="107">
        <v>0.14539436123514304</v>
      </c>
      <c r="G96" s="107">
        <v>0.10489176706137955</v>
      </c>
      <c r="H96" s="107">
        <v>0.11123186157290216</v>
      </c>
      <c r="I96" s="107">
        <v>0.15147339554078243</v>
      </c>
      <c r="J96" s="107">
        <v>8.1327728710695851E-2</v>
      </c>
      <c r="K96" s="107">
        <v>0.111043372995779</v>
      </c>
      <c r="L96" s="107">
        <v>0.12065074510354121</v>
      </c>
      <c r="M96" s="107">
        <v>0.15620280978770817</v>
      </c>
      <c r="O96" s="101">
        <v>1692097</v>
      </c>
    </row>
    <row r="97" spans="1:15" s="101" customFormat="1" hidden="1">
      <c r="B97" s="101">
        <v>5</v>
      </c>
      <c r="C97" s="101" t="s">
        <v>156</v>
      </c>
      <c r="D97" s="107">
        <v>0.19118049834957648</v>
      </c>
      <c r="E97" s="107">
        <v>0.19227705427281416</v>
      </c>
      <c r="F97" s="107">
        <v>0.146299239451432</v>
      </c>
      <c r="G97" s="107">
        <v>0.11686926724048491</v>
      </c>
      <c r="H97" s="107">
        <v>0.10742524079498982</v>
      </c>
      <c r="I97" s="107">
        <v>0.10308447918965936</v>
      </c>
      <c r="J97" s="107">
        <v>9.2077262241523752E-2</v>
      </c>
      <c r="K97" s="107">
        <v>9.1468825041617019E-2</v>
      </c>
      <c r="L97" s="107">
        <v>7.6484599127035077E-2</v>
      </c>
      <c r="M97" s="107">
        <v>7.7465223973652242E-2</v>
      </c>
      <c r="O97" s="101">
        <v>3689192</v>
      </c>
    </row>
    <row r="98" spans="1:15" s="101" customFormat="1" hidden="1">
      <c r="B98" s="101">
        <v>6</v>
      </c>
      <c r="C98" s="101" t="s">
        <v>181</v>
      </c>
      <c r="D98" s="107"/>
      <c r="E98" s="107"/>
      <c r="F98" s="107"/>
      <c r="G98" s="107">
        <v>7.152186122859866E-2</v>
      </c>
      <c r="H98" s="107"/>
      <c r="I98" s="107"/>
      <c r="J98" s="107"/>
      <c r="K98" s="107"/>
      <c r="L98" s="107"/>
      <c r="M98" s="107"/>
      <c r="O98" s="101">
        <v>11115023</v>
      </c>
    </row>
    <row r="99" spans="1:15" s="101" customFormat="1" hidden="1">
      <c r="B99" s="101">
        <v>7</v>
      </c>
      <c r="C99" s="101" t="s">
        <v>251</v>
      </c>
      <c r="D99" s="107">
        <v>0.2632152820965189</v>
      </c>
      <c r="E99" s="107">
        <v>0.24397758479966353</v>
      </c>
      <c r="F99" s="107">
        <v>0.24920822336913526</v>
      </c>
      <c r="G99" s="107">
        <v>0.25807079830097074</v>
      </c>
      <c r="H99" s="107">
        <v>0.27513935443909182</v>
      </c>
      <c r="I99" s="107">
        <v>0.24031251862989367</v>
      </c>
      <c r="J99" s="107">
        <v>0.26526534331857443</v>
      </c>
      <c r="K99" s="107">
        <v>0.24450082010467472</v>
      </c>
      <c r="L99" s="107">
        <v>0.21192401200061667</v>
      </c>
      <c r="M99" s="107">
        <v>0.21067363070615072</v>
      </c>
      <c r="O99" s="101">
        <v>5920853</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8</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6</v>
      </c>
      <c r="D121" s="52">
        <v>12</v>
      </c>
      <c r="E121" s="52">
        <v>6</v>
      </c>
      <c r="F121" s="53">
        <v>24</v>
      </c>
    </row>
    <row r="122" spans="1:15" ht="18" customHeight="1">
      <c r="A122" s="186" t="s">
        <v>198</v>
      </c>
      <c r="B122" s="35" t="s">
        <v>199</v>
      </c>
      <c r="C122" s="54">
        <v>19.606666564941406</v>
      </c>
      <c r="D122" s="54">
        <v>21.682499885559082</v>
      </c>
      <c r="E122" s="54">
        <v>20.724998474121094</v>
      </c>
      <c r="F122" s="55">
        <v>20.924167633056641</v>
      </c>
    </row>
    <row r="123" spans="1:15" ht="18" customHeight="1">
      <c r="A123" s="187"/>
      <c r="B123" s="37" t="s">
        <v>190</v>
      </c>
      <c r="C123" s="56">
        <v>468.83334350585938</v>
      </c>
      <c r="D123" s="56">
        <v>496.58334350585938</v>
      </c>
      <c r="E123" s="56">
        <v>493.33334350585938</v>
      </c>
      <c r="F123" s="57">
        <v>488.83334350585938</v>
      </c>
    </row>
    <row r="124" spans="1:15" ht="18" customHeight="1">
      <c r="A124" s="187"/>
      <c r="B124" s="37" t="s">
        <v>191</v>
      </c>
      <c r="C124" s="56">
        <v>172.16667175292969</v>
      </c>
      <c r="D124" s="56">
        <v>185.25</v>
      </c>
      <c r="E124" s="56">
        <v>173.16667175292969</v>
      </c>
      <c r="F124" s="57">
        <v>178.95832824707031</v>
      </c>
    </row>
    <row r="125" spans="1:15" ht="18" customHeight="1">
      <c r="A125" s="187"/>
      <c r="B125" s="37" t="s">
        <v>192</v>
      </c>
      <c r="C125" s="56">
        <v>349.87579345703125</v>
      </c>
      <c r="D125" s="56">
        <v>379.81074523925781</v>
      </c>
      <c r="E125" s="56">
        <v>369.59866333007813</v>
      </c>
      <c r="F125" s="57">
        <v>369.77398681640625</v>
      </c>
    </row>
    <row r="126" spans="1:15" ht="18" customHeight="1">
      <c r="A126" s="187"/>
      <c r="B126" s="37" t="s">
        <v>193</v>
      </c>
      <c r="C126" s="33">
        <v>566.96722412109375</v>
      </c>
      <c r="D126" s="33">
        <v>409.68106079101563</v>
      </c>
      <c r="E126" s="33">
        <v>418.31515502929688</v>
      </c>
      <c r="F126" s="58">
        <v>451.16110229492188</v>
      </c>
    </row>
    <row r="127" spans="1:15" ht="18" customHeight="1">
      <c r="A127" s="187"/>
      <c r="B127" s="37" t="s">
        <v>200</v>
      </c>
      <c r="C127" s="33">
        <f ca="1">1434.498125*OFFSET($L$113,MATCH($N$1,$C$113:$C$114,0)-1,0)</f>
        <v>1434.4981250000001</v>
      </c>
      <c r="D127" s="33">
        <f ca="1">974.647625*OFFSET($L$113,MATCH($N$1,$C$113:$C$114,0)-1,0)</f>
        <v>974.64762499999995</v>
      </c>
      <c r="E127" s="33">
        <f ca="1">910.664375*OFFSET($L$113,MATCH($N$1,$C$113:$C$114,0)-1,0)</f>
        <v>910.66437499999995</v>
      </c>
      <c r="F127" s="58">
        <f ca="1">1073.614375*OFFSET($L$113,MATCH($N$1,$C$113:$C$114,0)-1,0)</f>
        <v>1073.6143750000001</v>
      </c>
    </row>
    <row r="128" spans="1:15" ht="18" customHeight="1">
      <c r="A128" s="187"/>
      <c r="B128" s="37" t="s">
        <v>195</v>
      </c>
      <c r="C128" s="56">
        <v>204</v>
      </c>
      <c r="D128" s="56">
        <v>192.5</v>
      </c>
      <c r="E128" s="56">
        <v>222.16667175292969</v>
      </c>
      <c r="F128" s="57">
        <v>202.79167175292969</v>
      </c>
    </row>
    <row r="129" spans="1:15" ht="18" customHeight="1">
      <c r="A129" s="187"/>
      <c r="B129" s="37" t="s">
        <v>201</v>
      </c>
      <c r="C129" s="56">
        <v>10.5</v>
      </c>
      <c r="D129" s="56">
        <v>23.25</v>
      </c>
      <c r="E129" s="56">
        <v>19.666666030883789</v>
      </c>
      <c r="F129" s="57">
        <v>19.166666030883789</v>
      </c>
    </row>
    <row r="130" spans="1:15" ht="18" customHeight="1">
      <c r="A130" s="187"/>
      <c r="B130" s="37" t="s">
        <v>202</v>
      </c>
      <c r="C130" s="59">
        <v>2.7792510986328125</v>
      </c>
      <c r="D130" s="59">
        <v>2.1282133028104706</v>
      </c>
      <c r="E130" s="59">
        <v>1.8828889131546021</v>
      </c>
      <c r="F130" s="60">
        <v>2.2247517108917236</v>
      </c>
    </row>
    <row r="131" spans="1:15" ht="18" customHeight="1">
      <c r="A131" s="188"/>
      <c r="B131" s="39" t="s">
        <v>203</v>
      </c>
      <c r="C131" s="40">
        <f ca="1">2530.12531231191*OFFSET($L$113,MATCH($N$1,$C$113:$C$114,0)-1,0)</f>
        <v>2530.12531231191</v>
      </c>
      <c r="D131" s="40">
        <f ca="1">2379.0399856858*OFFSET($L$113,MATCH($N$1,$C$113:$C$114,0)-1,0)</f>
        <v>2379.0399856857998</v>
      </c>
      <c r="E131" s="40">
        <f ca="1">2176.98155099406*OFFSET($L$113,MATCH($N$1,$C$113:$C$114,0)-1,0)</f>
        <v>2176.9815509940599</v>
      </c>
      <c r="F131" s="61">
        <f ca="1">2380*OFFSET($L$113,MATCH($N$1,$C$113:$C$114,0)-1,0)</f>
        <v>2380</v>
      </c>
    </row>
    <row r="132" spans="1:15" ht="18" customHeight="1">
      <c r="A132" s="198" t="s">
        <v>204</v>
      </c>
      <c r="B132" s="35" t="s">
        <v>205</v>
      </c>
      <c r="C132" s="62">
        <v>5.9258673959485781</v>
      </c>
      <c r="D132" s="62">
        <v>4.2400099890230205</v>
      </c>
      <c r="E132" s="62">
        <v>3.721907995673789</v>
      </c>
      <c r="F132" s="63">
        <v>4.4968315536811083</v>
      </c>
    </row>
    <row r="133" spans="1:15" ht="18" customHeight="1">
      <c r="A133" s="199"/>
      <c r="B133" s="37" t="s">
        <v>206</v>
      </c>
      <c r="C133" s="59">
        <f ca="1">14.9931870958934*OFFSET($L$113,MATCH($N$1,$C$113:$C$114,0)-1,0)</f>
        <v>14.993187095893401</v>
      </c>
      <c r="D133" s="59">
        <f ca="1">10.087153303593*OFFSET($L$113,MATCH($N$1,$C$113:$C$114,0)-1,0)</f>
        <v>10.087153303593</v>
      </c>
      <c r="E133" s="59">
        <f ca="1">8.10252504107912*OFFSET($L$113,MATCH($N$1,$C$113:$C$114,0)-1,0)</f>
        <v>8.1025250410791205</v>
      </c>
      <c r="F133" s="60">
        <f ca="1">10.7009734957817*OFFSET($L$113,MATCH($N$1,$C$113:$C$114,0)-1,0)</f>
        <v>10.7009734957817</v>
      </c>
    </row>
    <row r="134" spans="1:15" ht="18" customHeight="1">
      <c r="A134" s="199"/>
      <c r="B134" s="37" t="s">
        <v>153</v>
      </c>
      <c r="C134" s="59">
        <f ca="1">11.2015993319949*OFFSET($L$113,MATCH($N$1,$C$113:$C$114,0)-1,0)</f>
        <v>11.201599331994901</v>
      </c>
      <c r="D134" s="59">
        <f ca="1">8.42947513042238*OFFSET($L$113,MATCH($N$1,$C$113:$C$114,0)-1,0)</f>
        <v>8.4294751304223805</v>
      </c>
      <c r="E134" s="59">
        <f ca="1">7.30765408746581*OFFSET($L$113,MATCH($N$1,$C$113:$C$114,0)-1,0)</f>
        <v>7.30765408746581</v>
      </c>
      <c r="F134" s="60">
        <f ca="1">8.77619299506956*OFFSET($L$113,MATCH($N$1,$C$113:$C$114,0)-1,0)</f>
        <v>8.7761929950695592</v>
      </c>
    </row>
    <row r="135" spans="1:15" ht="18" customHeight="1">
      <c r="A135" s="200"/>
      <c r="B135" s="39" t="s">
        <v>154</v>
      </c>
      <c r="C135" s="64">
        <f ca="1">3.79158776389848*OFFSET($L$113,MATCH($N$1,$C$113:$C$114,0)-1,0)</f>
        <v>3.7915877638984798</v>
      </c>
      <c r="D135" s="64">
        <f ca="1">1.65767817317058*OFFSET($L$113,MATCH($N$1,$C$113:$C$114,0)-1,0)</f>
        <v>1.6576781731705801</v>
      </c>
      <c r="E135" s="64">
        <f ca="1">0.794870953613312*OFFSET($L$113,MATCH($N$1,$C$113:$C$114,0)-1,0)</f>
        <v>0.79487095361331195</v>
      </c>
      <c r="F135" s="65">
        <f ca="1">1.92478050071215*OFFSET($L$113,MATCH($N$1,$C$113:$C$114,0)-1,0)</f>
        <v>1.9247805007121499</v>
      </c>
    </row>
    <row r="136" spans="1:15" ht="18" customHeight="1">
      <c r="A136" s="201" t="s">
        <v>260</v>
      </c>
      <c r="B136" s="37" t="s">
        <v>261</v>
      </c>
      <c r="C136" s="66">
        <f ca="1">164.83540625*OFFSET($L$113,MATCH($N$1,$C$113:$C$114,0)-1,0)</f>
        <v>164.83540625000001</v>
      </c>
      <c r="D136" s="66">
        <f ca="1">198.3016484375*OFFSET($L$113,MATCH($N$1,$C$113:$C$114,0)-1,0)</f>
        <v>198.30164843750001</v>
      </c>
      <c r="E136" s="66">
        <f ca="1">245.600484375*OFFSET($L$113,MATCH($N$1,$C$113:$C$114,0)-1,0)</f>
        <v>245.60048437500001</v>
      </c>
      <c r="F136" s="67">
        <f ca="1">201.759796875*OFFSET($L$113,MATCH($N$1,$C$113:$C$114,0)-1,0)</f>
        <v>201.75979687500001</v>
      </c>
    </row>
    <row r="137" spans="1:15" ht="18" customHeight="1">
      <c r="A137" s="202"/>
      <c r="B137" s="37" t="s">
        <v>262</v>
      </c>
      <c r="C137" s="31">
        <v>346800</v>
      </c>
      <c r="D137" s="31">
        <v>416150.0082807056</v>
      </c>
      <c r="E137" s="31">
        <v>519249.99548954889</v>
      </c>
      <c r="F137" s="68">
        <v>424587.5</v>
      </c>
    </row>
    <row r="138" spans="1:15" ht="18" customHeight="1">
      <c r="A138" s="202"/>
      <c r="B138" s="37" t="s">
        <v>263</v>
      </c>
      <c r="C138" s="31">
        <v>1700</v>
      </c>
      <c r="D138" s="31">
        <v>2161.8182248348344</v>
      </c>
      <c r="E138" s="31">
        <v>2337.209228515625</v>
      </c>
      <c r="F138" s="68">
        <v>2093.712646484375</v>
      </c>
    </row>
    <row r="139" spans="1:15" ht="18" customHeight="1">
      <c r="A139" s="202"/>
      <c r="B139" s="37" t="s">
        <v>264</v>
      </c>
      <c r="C139" s="31">
        <f ca="1">808.016697303922*OFFSET($L$113,MATCH($N$1,$C$113:$C$114,0)-1,0)</f>
        <v>808.016697303922</v>
      </c>
      <c r="D139" s="31">
        <f ca="1">1030.13843344156*OFFSET($L$113,MATCH($N$1,$C$113:$C$114,0)-1,0)</f>
        <v>1030.13843344156</v>
      </c>
      <c r="E139" s="31">
        <f ca="1">1105.47852401611*OFFSET($L$113,MATCH($N$1,$C$113:$C$114,0)-1,0)</f>
        <v>1105.47852401611</v>
      </c>
      <c r="F139" s="68">
        <f ca="1">994.911650616565*OFFSET($L$113,MATCH($N$1,$C$113:$C$114,0)-1,0)</f>
        <v>994.911650616565</v>
      </c>
      <c r="I139" s="43"/>
      <c r="L139" s="69" t="str">
        <f>C120</f>
        <v>Most
profitable
quartile</v>
      </c>
      <c r="M139" s="69" t="str">
        <f>D120</f>
        <v>Middle
two quartiles</v>
      </c>
      <c r="N139" s="69" t="str">
        <f>E120</f>
        <v>Least
profitable
quartile</v>
      </c>
      <c r="O139" s="69"/>
    </row>
    <row r="140" spans="1:15" ht="18" customHeight="1">
      <c r="A140" s="202"/>
      <c r="B140" s="37" t="s">
        <v>265</v>
      </c>
      <c r="C140" s="31">
        <f ca="1">290.731808184373*OFFSET($L$113,MATCH($N$1,$C$113:$C$114,0)-1,0)</f>
        <v>290.73180818437299</v>
      </c>
      <c r="D140" s="31">
        <f ca="1">484.039091420574*OFFSET($L$113,MATCH($N$1,$C$113:$C$114,0)-1,0)</f>
        <v>484.03909142057398</v>
      </c>
      <c r="E140" s="31">
        <f ca="1">587.118304039927*OFFSET($L$113,MATCH($N$1,$C$113:$C$114,0)-1,0)</f>
        <v>587.11830403992701</v>
      </c>
      <c r="F140" s="68">
        <f ca="1">447.201223351721*OFFSET($L$113,MATCH($N$1,$C$113:$C$114,0)-1,0)</f>
        <v>447.20122335172101</v>
      </c>
      <c r="I140" s="43"/>
      <c r="K140" s="69" t="s">
        <v>266</v>
      </c>
      <c r="L140" s="70">
        <f t="shared" ref="L140:M142" ca="1" si="2">C141</f>
        <v>1532.5528750000001</v>
      </c>
      <c r="M140" s="70">
        <f t="shared" ca="1" si="2"/>
        <v>1041.2694375000001</v>
      </c>
      <c r="N140" s="70">
        <f ca="1">E141</f>
        <v>972.91256250000004</v>
      </c>
      <c r="O140" s="70"/>
    </row>
    <row r="141" spans="1:15" ht="18" customHeight="1">
      <c r="A141" s="179" t="s">
        <v>267</v>
      </c>
      <c r="B141" s="35" t="s">
        <v>268</v>
      </c>
      <c r="C141" s="71">
        <f ca="1">1532.552875*OFFSET($L$113,MATCH($N$1,$C$113:$C$114,0)-1,0)</f>
        <v>1532.5528750000001</v>
      </c>
      <c r="D141" s="71">
        <f ca="1">1041.2694375*OFFSET($L$113,MATCH($N$1,$C$113:$C$114,0)-1,0)</f>
        <v>1041.2694375000001</v>
      </c>
      <c r="E141" s="71">
        <f ca="1">972.9125625*OFFSET($L$113,MATCH($N$1,$C$113:$C$114,0)-1,0)</f>
        <v>972.91256250000004</v>
      </c>
      <c r="F141" s="72">
        <f ca="1">1147.001125*OFFSET($L$113,MATCH($N$1,$C$113:$C$114,0)-1,0)</f>
        <v>1147.001125</v>
      </c>
      <c r="I141" s="43"/>
      <c r="K141" s="69" t="s">
        <v>269</v>
      </c>
      <c r="L141" s="70">
        <f t="shared" ca="1" si="2"/>
        <v>1169.7864999999999</v>
      </c>
      <c r="M141" s="70">
        <f t="shared" ca="1" si="2"/>
        <v>881.10015625000005</v>
      </c>
      <c r="N141" s="70">
        <f ca="1">E142</f>
        <v>883.57493750000003</v>
      </c>
      <c r="O141" s="70"/>
    </row>
    <row r="142" spans="1:15" ht="18" customHeight="1">
      <c r="A142" s="180"/>
      <c r="B142" s="37" t="s">
        <v>270</v>
      </c>
      <c r="C142" s="31">
        <f ca="1">1169.7865*OFFSET($L$113,MATCH($N$1,$C$113:$C$114,0)-1,0)</f>
        <v>1169.7864999999999</v>
      </c>
      <c r="D142" s="31">
        <f ca="1">881.10015625*OFFSET($L$113,MATCH($N$1,$C$113:$C$114,0)-1,0)</f>
        <v>881.10015625000005</v>
      </c>
      <c r="E142" s="31">
        <f ca="1">883.5749375*OFFSET($L$113,MATCH($N$1,$C$113:$C$114,0)-1,0)</f>
        <v>883.57493750000003</v>
      </c>
      <c r="F142" s="68">
        <f ca="1">953.8904375*OFFSET($L$113,MATCH($N$1,$C$113:$C$114,0)-1,0)</f>
        <v>953.89043749999996</v>
      </c>
      <c r="I142" s="43"/>
      <c r="K142" s="69" t="s">
        <v>271</v>
      </c>
      <c r="L142" s="70">
        <f t="shared" ca="1" si="2"/>
        <v>362.76637499999998</v>
      </c>
      <c r="M142" s="70">
        <f t="shared" ca="1" si="2"/>
        <v>160.16928125000001</v>
      </c>
      <c r="N142" s="70">
        <f ca="1">E143</f>
        <v>89.337625000000003</v>
      </c>
      <c r="O142" s="70"/>
    </row>
    <row r="143" spans="1:15" ht="18" customHeight="1">
      <c r="A143" s="181"/>
      <c r="B143" s="39" t="s">
        <v>272</v>
      </c>
      <c r="C143" s="40">
        <f ca="1">362.766375*OFFSET($L$113,MATCH($N$1,$C$113:$C$114,0)-1,0)</f>
        <v>362.76637499999998</v>
      </c>
      <c r="D143" s="40">
        <f ca="1">160.16928125*OFFSET($L$113,MATCH($N$1,$C$113:$C$114,0)-1,0)</f>
        <v>160.16928125000001</v>
      </c>
      <c r="E143" s="40">
        <f ca="1">89.337625*OFFSET($L$113,MATCH($N$1,$C$113:$C$114,0)-1,0)</f>
        <v>89.337625000000003</v>
      </c>
      <c r="F143" s="61">
        <f ca="1">193.11065625*OFFSET($L$113,MATCH($N$1,$C$113:$C$114,0)-1,0)</f>
        <v>193.11065625000001</v>
      </c>
      <c r="I143" s="43"/>
      <c r="K143" s="69" t="s">
        <v>273</v>
      </c>
      <c r="L143" s="73">
        <f ca="1">IFERROR(L141/L$140,"")</f>
        <v>0.7632927509923596</v>
      </c>
      <c r="M143" s="73">
        <f t="shared" ref="M143:N144" ca="1" si="3">IFERROR(M141/M$140,"")</f>
        <v>0.84617883183573217</v>
      </c>
      <c r="N143" s="73">
        <f t="shared" ca="1" si="3"/>
        <v>0.90817507302975131</v>
      </c>
      <c r="O143" s="73"/>
    </row>
    <row r="144" spans="1:15" ht="18" customHeight="1">
      <c r="I144" s="43"/>
      <c r="K144" s="69" t="s">
        <v>274</v>
      </c>
      <c r="L144" s="73">
        <f ca="1">IFERROR(L142/L$140,"")</f>
        <v>0.23670724900764026</v>
      </c>
      <c r="M144" s="73">
        <f t="shared" ca="1" si="3"/>
        <v>0.15382116816426775</v>
      </c>
      <c r="N144" s="73">
        <f t="shared" ca="1" si="3"/>
        <v>9.1824926970248674E-2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161</v>
      </c>
      <c r="C163" s="48">
        <v>0.23604460410113948</v>
      </c>
      <c r="D163" s="48">
        <v>0.26440606262289612</v>
      </c>
      <c r="E163" s="48">
        <v>0.2612885660472391</v>
      </c>
      <c r="F163" s="44">
        <v>12153634</v>
      </c>
      <c r="G163" s="44">
        <v>1</v>
      </c>
      <c r="H163" s="48" t="s">
        <v>161</v>
      </c>
      <c r="I163" s="48">
        <v>0.2848521048828212</v>
      </c>
      <c r="J163" s="48">
        <v>0.33323482173252622</v>
      </c>
      <c r="K163" s="48">
        <v>0.35563009974632354</v>
      </c>
      <c r="L163" s="44">
        <v>12153634</v>
      </c>
      <c r="R163" s="21"/>
      <c r="S163" s="21"/>
    </row>
    <row r="164" spans="1:19" s="43" customFormat="1">
      <c r="A164" s="44">
        <v>2</v>
      </c>
      <c r="B164" s="48" t="s">
        <v>156</v>
      </c>
      <c r="C164" s="48">
        <v>9.9265824091169477E-2</v>
      </c>
      <c r="D164" s="48">
        <v>0.14616145082318083</v>
      </c>
      <c r="E164" s="48">
        <v>0.13124777917210942</v>
      </c>
      <c r="F164" s="44">
        <v>3689192</v>
      </c>
      <c r="G164" s="44">
        <v>2</v>
      </c>
      <c r="H164" s="48" t="s">
        <v>168</v>
      </c>
      <c r="I164" s="48">
        <v>0.13799989169866614</v>
      </c>
      <c r="J164" s="48">
        <v>0.15229764644280927</v>
      </c>
      <c r="K164" s="48">
        <v>9.4208156151372693E-2</v>
      </c>
      <c r="L164" s="44">
        <v>3050596</v>
      </c>
      <c r="N164" s="43" t="s">
        <v>278</v>
      </c>
      <c r="R164" s="21"/>
      <c r="S164" s="21"/>
    </row>
    <row r="165" spans="1:19" s="43" customFormat="1">
      <c r="A165" s="44">
        <v>3</v>
      </c>
      <c r="B165" s="48" t="s">
        <v>172</v>
      </c>
      <c r="C165" s="48">
        <v>0</v>
      </c>
      <c r="D165" s="48">
        <v>0.13429858955499363</v>
      </c>
      <c r="E165" s="48">
        <v>0.13042615188561116</v>
      </c>
      <c r="F165" s="44">
        <v>11115023</v>
      </c>
      <c r="G165" s="44">
        <v>3</v>
      </c>
      <c r="H165" s="48" t="s">
        <v>159</v>
      </c>
      <c r="I165" s="48">
        <v>0</v>
      </c>
      <c r="J165" s="48">
        <v>0.13668562420181757</v>
      </c>
      <c r="K165" s="48">
        <v>0.25306423537066586</v>
      </c>
      <c r="L165" s="44">
        <v>1692097</v>
      </c>
      <c r="N165" s="43" t="s">
        <v>279</v>
      </c>
      <c r="R165" s="21"/>
      <c r="S165" s="21"/>
    </row>
    <row r="166" spans="1:19" s="43" customFormat="1">
      <c r="A166" s="44">
        <v>4</v>
      </c>
      <c r="B166" s="48" t="s">
        <v>168</v>
      </c>
      <c r="C166" s="48">
        <v>9.7359603125812322E-2</v>
      </c>
      <c r="D166" s="48">
        <v>9.9207421492025993E-2</v>
      </c>
      <c r="E166" s="48">
        <v>5.8867137758592397E-2</v>
      </c>
      <c r="F166" s="44">
        <v>3050596</v>
      </c>
      <c r="G166" s="44">
        <v>4</v>
      </c>
      <c r="H166" s="48" t="s">
        <v>321</v>
      </c>
      <c r="I166" s="48">
        <v>0.28312090134548229</v>
      </c>
      <c r="J166" s="48">
        <v>0.10291244532492036</v>
      </c>
      <c r="K166" s="48">
        <v>0</v>
      </c>
      <c r="L166" s="44">
        <v>553960</v>
      </c>
      <c r="R166" s="21"/>
      <c r="S166" s="21"/>
    </row>
    <row r="167" spans="1:19" s="43" customFormat="1">
      <c r="A167" s="44">
        <v>5</v>
      </c>
      <c r="B167" s="48" t="s">
        <v>159</v>
      </c>
      <c r="C167" s="48">
        <v>0</v>
      </c>
      <c r="D167" s="48">
        <v>9.9081209136141796E-2</v>
      </c>
      <c r="E167" s="48">
        <v>0.21278303427076062</v>
      </c>
      <c r="F167" s="44">
        <v>1692097</v>
      </c>
      <c r="G167" s="44">
        <v>5</v>
      </c>
      <c r="H167" s="48" t="s">
        <v>156</v>
      </c>
      <c r="I167" s="48">
        <v>5.9318159923708001E-2</v>
      </c>
      <c r="J167" s="48">
        <v>9.7936052332163639E-2</v>
      </c>
      <c r="K167" s="48">
        <v>6.8656449054730895E-2</v>
      </c>
      <c r="L167" s="44">
        <v>3689192</v>
      </c>
      <c r="R167" s="21"/>
      <c r="S167" s="21"/>
    </row>
    <row r="168" spans="1:19" s="43" customFormat="1">
      <c r="A168" s="44">
        <v>6</v>
      </c>
      <c r="B168" s="48" t="s">
        <v>321</v>
      </c>
      <c r="C168" s="48">
        <v>0.18853133312080436</v>
      </c>
      <c r="D168" s="48">
        <v>0</v>
      </c>
      <c r="E168" s="48">
        <v>0</v>
      </c>
      <c r="F168" s="44">
        <v>553960</v>
      </c>
      <c r="G168" s="44">
        <v>6</v>
      </c>
      <c r="H168" s="48" t="s">
        <v>172</v>
      </c>
      <c r="I168" s="48">
        <v>0</v>
      </c>
      <c r="J168" s="48">
        <v>0</v>
      </c>
      <c r="K168" s="48">
        <v>7.9132196743451746E-2</v>
      </c>
      <c r="L168" s="44">
        <v>11115023</v>
      </c>
      <c r="R168" s="21"/>
      <c r="S168" s="21"/>
    </row>
    <row r="169" spans="1:19" s="43" customFormat="1">
      <c r="A169" s="44">
        <v>7</v>
      </c>
      <c r="B169" s="48" t="s">
        <v>353</v>
      </c>
      <c r="C169" s="48">
        <v>8.5895561694431077E-2</v>
      </c>
      <c r="D169" s="48">
        <v>0</v>
      </c>
      <c r="E169" s="48">
        <v>0</v>
      </c>
      <c r="F169" s="44">
        <v>2480382</v>
      </c>
      <c r="G169" s="44">
        <v>7</v>
      </c>
      <c r="H169" s="48" t="s">
        <v>353</v>
      </c>
      <c r="I169" s="48">
        <v>3.7326537007463211E-2</v>
      </c>
      <c r="J169" s="48">
        <v>0</v>
      </c>
      <c r="K169" s="48">
        <v>0</v>
      </c>
      <c r="L169" s="44">
        <v>2480382</v>
      </c>
      <c r="R169" s="21"/>
      <c r="S169" s="21"/>
    </row>
    <row r="170" spans="1:19" s="43" customFormat="1">
      <c r="A170" s="44">
        <v>8</v>
      </c>
      <c r="B170" s="48" t="s">
        <v>251</v>
      </c>
      <c r="C170" s="48">
        <v>0.29290307386664338</v>
      </c>
      <c r="D170" s="48">
        <v>0.25684526637076155</v>
      </c>
      <c r="E170" s="48">
        <v>0.20538733086568728</v>
      </c>
      <c r="F170" s="44">
        <v>5920853</v>
      </c>
      <c r="G170" s="44">
        <v>8</v>
      </c>
      <c r="H170" s="48" t="s">
        <v>251</v>
      </c>
      <c r="I170" s="48">
        <v>0.19738240514185912</v>
      </c>
      <c r="J170" s="48">
        <v>0.17693340996576301</v>
      </c>
      <c r="K170" s="48">
        <v>0.14930886293345536</v>
      </c>
      <c r="L170" s="44">
        <v>5920853</v>
      </c>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302C1AAA-862C-4145-96ED-0F525C9E3A04}">
      <formula1>$C$113:$C$114</formula1>
    </dataValidation>
  </dataValidations>
  <hyperlinks>
    <hyperlink ref="O1:P1" location="Home_page" display="Back to home page" xr:uid="{8B094114-94D2-4184-B451-89E3488782FB}"/>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47CE54BF-570A-4641-AAE6-12E284F81250}">
          <x14:colorSeries rgb="FF323232"/>
          <x14:colorNegative rgb="FFD00000"/>
          <x14:colorAxis rgb="FF000000"/>
          <x14:colorMarkers rgb="FFD00000"/>
          <x14:colorFirst rgb="FFD00000"/>
          <x14:colorLast rgb="FFD00000"/>
          <x14:colorHigh rgb="FFD00000"/>
          <x14:colorLow rgb="FFD00000"/>
          <x14:sparklines>
            <x14:sparkline>
              <xm:f>'NSWOS demersal u24m o300kW'!D3:N3</xm:f>
              <xm:sqref>C3</xm:sqref>
            </x14:sparkline>
            <x14:sparkline>
              <xm:f>'NSWOS demersal u24m o300kW'!D4:N4</xm:f>
              <xm:sqref>C4</xm:sqref>
            </x14:sparkline>
            <x14:sparkline>
              <xm:f>'NSWOS demersal u24m o300kW'!D5:N5</xm:f>
              <xm:sqref>C5</xm:sqref>
            </x14:sparkline>
            <x14:sparkline>
              <xm:f>'NSWOS demersal u24m o300kW'!D6:N6</xm:f>
              <xm:sqref>C6</xm:sqref>
            </x14:sparkline>
            <x14:sparkline>
              <xm:f>'NSWOS demersal u24m o300kW'!D7:N7</xm:f>
              <xm:sqref>C7</xm:sqref>
            </x14:sparkline>
            <x14:sparkline>
              <xm:f>'NSWOS demersal u24m o300kW'!D8:N8</xm:f>
              <xm:sqref>C8</xm:sqref>
            </x14:sparkline>
            <x14:sparkline>
              <xm:f>'NSWOS demersal u24m o300kW'!D9:N9</xm:f>
              <xm:sqref>C9</xm:sqref>
            </x14:sparkline>
            <x14:sparkline>
              <xm:f>'NSWOS demersal u24m o300kW'!D10:N10</xm:f>
              <xm:sqref>C10</xm:sqref>
            </x14:sparkline>
            <x14:sparkline>
              <xm:f>'NSWOS demersal u24m o300kW'!D11:N11</xm:f>
              <xm:sqref>C11</xm:sqref>
            </x14:sparkline>
            <x14:sparkline>
              <xm:f>'NSWOS demersal u24m o300kW'!D12:N12</xm:f>
              <xm:sqref>C12</xm:sqref>
            </x14:sparkline>
            <x14:sparkline>
              <xm:f>'NSWOS demersal u24m o300kW'!D13:N13</xm:f>
              <xm:sqref>C13</xm:sqref>
            </x14:sparkline>
            <x14:sparkline>
              <xm:f>'NSWOS demersal u24m o300kW'!D14:N14</xm:f>
              <xm:sqref>C14</xm:sqref>
            </x14:sparkline>
            <x14:sparkline>
              <xm:f>'NSWOS demersal u24m o300kW'!D15:N15</xm:f>
              <xm:sqref>C15</xm:sqref>
            </x14:sparkline>
            <x14:sparkline>
              <xm:f>'NSWOS demersal u24m o300kW'!D16:N16</xm:f>
              <xm:sqref>C16</xm:sqref>
            </x14:sparkline>
            <x14:sparkline>
              <xm:f>'NSWOS demersal u24m o300kW'!D17:N17</xm:f>
              <xm:sqref>C17</xm:sqref>
            </x14:sparkline>
            <x14:sparkline>
              <xm:f>'NSWOS demersal u24m o300kW'!D18:N18</xm:f>
              <xm:sqref>C18</xm:sqref>
            </x14:sparkline>
            <x14:sparkline>
              <xm:f>'NSWOS demersal u24m o300kW'!D19:N19</xm:f>
              <xm:sqref>C19</xm:sqref>
            </x14:sparkline>
            <x14:sparkline>
              <xm:f>'NSWOS demersal u24m o300kW'!D20:N20</xm:f>
              <xm:sqref>C20</xm:sqref>
            </x14:sparkline>
            <x14:sparkline>
              <xm:f>'NSWOS demersal u24m o300kW'!D21:N21</xm:f>
              <xm:sqref>C21</xm:sqref>
            </x14:sparkline>
            <x14:sparkline>
              <xm:f>'NSWOS demersal u24m o300kW'!D22:N22</xm:f>
              <xm:sqref>C22</xm:sqref>
            </x14:sparkline>
            <x14:sparkline>
              <xm:f>'NSWOS demersal u24m o300kW'!D23:N23</xm:f>
              <xm:sqref>C23</xm:sqref>
            </x14:sparkline>
            <x14:sparkline>
              <xm:f>'NSWOS demersal u24m o300kW'!D24:N24</xm:f>
              <xm:sqref>C24</xm:sqref>
            </x14:sparkline>
            <x14:sparkline>
              <xm:f>'NSWOS demersal u24m o300kW'!D25:N25</xm:f>
              <xm:sqref>C25</xm:sqref>
            </x14:sparkline>
            <x14:sparkline>
              <xm:f>'NSWOS demersal u24m o300kW'!D26:N26</xm:f>
              <xm:sqref>C26</xm:sqref>
            </x14:sparkline>
            <x14:sparkline>
              <xm:f>'NSWOS demersal u24m o300kW'!D27:N27</xm:f>
              <xm:sqref>C27</xm:sqref>
            </x14:sparkline>
            <x14:sparkline>
              <xm:f>'NSWOS demersal u24m o300kW'!D28:N28</xm:f>
              <xm:sqref>C28</xm:sqref>
            </x14:sparkline>
            <x14:sparkline>
              <xm:f>'NSWOS demersal u24m o300kW'!D29:N29</xm:f>
              <xm:sqref>C29</xm:sqref>
            </x14:sparkline>
            <x14:sparkline>
              <xm:f>'NSWOS demersal u24m o300kW'!D30:N30</xm:f>
              <xm:sqref>C30</xm:sqref>
            </x14:sparkline>
            <x14:sparkline>
              <xm:f>'NSWOS demersal u24m o300kW'!D31:N31</xm:f>
              <xm:sqref>C31</xm:sqref>
            </x14:sparkline>
            <x14:sparkline>
              <xm:f>'NSWOS demersal u24m o300kW'!D32:N32</xm:f>
              <xm:sqref>C32</xm:sqref>
            </x14:sparkline>
            <x14:sparkline>
              <xm:f>'NSWOS demersal u24m o300kW'!D33:N33</xm:f>
              <xm:sqref>C33</xm:sqref>
            </x14:sparkline>
            <x14:sparkline>
              <xm:f>'NSWOS demersal u24m o300kW'!D34:N34</xm:f>
              <xm:sqref>C34</xm:sqref>
            </x14:sparkline>
            <x14:sparkline>
              <xm:f>'NSWOS demersal u24m o300kW'!D35:N35</xm:f>
              <xm:sqref>C35</xm:sqref>
            </x14:sparkline>
            <x14:sparkline>
              <xm:f>'NSWOS demersal u24m o300kW'!D36:N36</xm:f>
              <xm:sqref>C36</xm:sqref>
            </x14:sparkline>
            <x14:sparkline>
              <xm:f>'NSWOS demersal u24m o300kW'!D37:N37</xm:f>
              <xm:sqref>C37</xm:sqref>
            </x14:sparkline>
            <x14:sparkline>
              <xm:f>'NSWOS demersal u24m o300kW'!D38:N38</xm:f>
              <xm:sqref>C38</xm:sqref>
            </x14:sparkline>
            <x14:sparkline>
              <xm:f>'NSWOS demersal u24m o300kW'!D39:N39</xm:f>
              <xm:sqref>C39</xm:sqref>
            </x14:sparkline>
            <x14:sparkline>
              <xm:f>'NSWOS demersal u24m o300kW'!D40:N40</xm:f>
              <xm:sqref>C40</xm:sqref>
            </x14:sparkline>
            <x14:sparkline>
              <xm:f>'NSWOS demersal u24m o300kW'!D41:N41</xm:f>
              <xm:sqref>C41</xm:sqref>
            </x14:sparkline>
            <x14:sparkline>
              <xm:f>'NSWOS demersal u24m o300kW'!D42:N42</xm:f>
              <xm:sqref>C42</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1171E-A0CD-4A46-868D-A17ABAEB3A25}">
  <sheetPr codeName="Feuil25">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27</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22</v>
      </c>
      <c r="E3" s="28">
        <v>21</v>
      </c>
      <c r="F3" s="28">
        <v>15</v>
      </c>
      <c r="G3" s="28">
        <v>22</v>
      </c>
      <c r="H3" s="28">
        <v>13</v>
      </c>
      <c r="I3" s="28">
        <v>19</v>
      </c>
      <c r="J3" s="28">
        <v>19</v>
      </c>
      <c r="K3" s="28">
        <v>18</v>
      </c>
      <c r="L3" s="28">
        <v>12</v>
      </c>
      <c r="M3" s="28">
        <v>10</v>
      </c>
      <c r="N3" s="28">
        <v>8</v>
      </c>
      <c r="O3" s="29">
        <f t="shared" ref="O3:O42" si="0">IF(N3=0,"",IFERROR(IF(AND(N3&gt;0,D3&lt;0),"na",IF(AND(N3&lt;0,D3&lt;0),-1,1)*(N3-D3)/D3),""))</f>
        <v>-0.63636363636363635</v>
      </c>
      <c r="P3" s="29">
        <f t="shared" ref="P3:P42" si="1">IF(N3=0,"",IFERROR(IF(AND(N3&gt;0,J3&lt;0),"na",IF(AND(N3&lt;0,J3&lt;0),-1,1)*(N3-J3)/J3),""))</f>
        <v>-0.57894736842105265</v>
      </c>
    </row>
    <row r="4" spans="1:17" ht="18" customHeight="1">
      <c r="A4" s="185"/>
      <c r="B4" s="30" t="s">
        <v>190</v>
      </c>
      <c r="C4" s="31"/>
      <c r="D4" s="31">
        <v>4649</v>
      </c>
      <c r="E4" s="31">
        <v>4524</v>
      </c>
      <c r="F4" s="31">
        <v>2954</v>
      </c>
      <c r="G4" s="31">
        <v>4655</v>
      </c>
      <c r="H4" s="31">
        <v>2722</v>
      </c>
      <c r="I4" s="31">
        <v>3755</v>
      </c>
      <c r="J4" s="31">
        <v>4125</v>
      </c>
      <c r="K4" s="31">
        <v>3704</v>
      </c>
      <c r="L4" s="31">
        <v>2830</v>
      </c>
      <c r="M4" s="31">
        <v>2407</v>
      </c>
      <c r="N4" s="31">
        <v>1645</v>
      </c>
      <c r="O4" s="29">
        <f t="shared" si="0"/>
        <v>-0.64616046461604648</v>
      </c>
      <c r="P4" s="29">
        <f t="shared" si="1"/>
        <v>-0.6012121212121212</v>
      </c>
    </row>
    <row r="5" spans="1:17" ht="18" customHeight="1">
      <c r="A5" s="185"/>
      <c r="B5" s="30" t="s">
        <v>191</v>
      </c>
      <c r="C5" s="31"/>
      <c r="D5" s="31">
        <v>1256</v>
      </c>
      <c r="E5" s="31">
        <v>1358</v>
      </c>
      <c r="F5" s="31">
        <v>779</v>
      </c>
      <c r="G5" s="31">
        <v>1373</v>
      </c>
      <c r="H5" s="31">
        <v>816</v>
      </c>
      <c r="I5" s="31">
        <v>978</v>
      </c>
      <c r="J5" s="31">
        <v>1178</v>
      </c>
      <c r="K5" s="31">
        <v>963</v>
      </c>
      <c r="L5" s="31">
        <v>758</v>
      </c>
      <c r="M5" s="31">
        <v>641</v>
      </c>
      <c r="N5" s="31">
        <v>444</v>
      </c>
      <c r="O5" s="29">
        <f t="shared" si="0"/>
        <v>-0.64649681528662417</v>
      </c>
      <c r="P5" s="29">
        <f t="shared" si="1"/>
        <v>-0.6230899830220713</v>
      </c>
      <c r="Q5" s="32"/>
    </row>
    <row r="6" spans="1:17" ht="18" customHeight="1">
      <c r="A6" s="185"/>
      <c r="B6" s="30" t="s">
        <v>192</v>
      </c>
      <c r="C6" s="31"/>
      <c r="D6" s="31">
        <v>3976.4013671875</v>
      </c>
      <c r="E6" s="31">
        <v>4024.2470703125</v>
      </c>
      <c r="F6" s="31">
        <v>2543.771240234375</v>
      </c>
      <c r="G6" s="31">
        <v>4118.82763671875</v>
      </c>
      <c r="H6" s="31">
        <v>2435.978759765625</v>
      </c>
      <c r="I6" s="31">
        <v>3302.688232421875</v>
      </c>
      <c r="J6" s="31">
        <v>3584.820068359375</v>
      </c>
      <c r="K6" s="31">
        <v>3175.72265625</v>
      </c>
      <c r="L6" s="31">
        <v>2379.5234375</v>
      </c>
      <c r="M6" s="31">
        <v>2023.5546875</v>
      </c>
      <c r="N6" s="31">
        <v>1443.28955078125</v>
      </c>
      <c r="O6" s="29">
        <f t="shared" si="0"/>
        <v>-0.63703625024098476</v>
      </c>
      <c r="P6" s="29">
        <f t="shared" si="1"/>
        <v>-0.59738856532294959</v>
      </c>
    </row>
    <row r="7" spans="1:17" ht="18" customHeight="1">
      <c r="A7" s="185"/>
      <c r="B7" s="30" t="s">
        <v>193</v>
      </c>
      <c r="C7" s="31"/>
      <c r="D7" s="31">
        <v>3767.992919921875</v>
      </c>
      <c r="E7" s="31">
        <v>4452.98583984375</v>
      </c>
      <c r="F7" s="31">
        <v>1750.3048095703125</v>
      </c>
      <c r="G7" s="31">
        <v>2149.273681640625</v>
      </c>
      <c r="H7" s="31">
        <v>1693.6619873046875</v>
      </c>
      <c r="I7" s="31">
        <v>1619.77490234375</v>
      </c>
      <c r="J7" s="31">
        <v>2455.8896484375</v>
      </c>
      <c r="K7" s="31">
        <v>2092.739501953125</v>
      </c>
      <c r="L7" s="31">
        <v>1594.2882080078125</v>
      </c>
      <c r="M7" s="31">
        <v>892.70831298828125</v>
      </c>
      <c r="N7" s="31">
        <v>540.14068603515625</v>
      </c>
      <c r="O7" s="29">
        <f t="shared" si="0"/>
        <v>-0.8566502916766745</v>
      </c>
      <c r="P7" s="29">
        <f t="shared" si="1"/>
        <v>-0.78006312849650727</v>
      </c>
    </row>
    <row r="8" spans="1:17" ht="18" customHeight="1">
      <c r="A8" s="185"/>
      <c r="B8" s="30" t="s">
        <v>194</v>
      </c>
      <c r="C8" s="33"/>
      <c r="D8" s="33">
        <f ca="1">6.455517*OFFSET(D$113,MATCH($N$1,$C$113:$C$114,0)-1,0)</f>
        <v>6.4555170000000004</v>
      </c>
      <c r="E8" s="33">
        <f ca="1">6.973367*OFFSET(E$113,MATCH($N$1,$C$113:$C$114,0)-1,0)</f>
        <v>6.9733669999999996</v>
      </c>
      <c r="F8" s="33">
        <f ca="1">3.65755175*OFFSET(F$113,MATCH($N$1,$C$113:$C$114,0)-1,0)</f>
        <v>3.6575517500000001</v>
      </c>
      <c r="G8" s="33">
        <f ca="1">4.9215625*OFFSET(G$113,MATCH($N$1,$C$113:$C$114,0)-1,0)</f>
        <v>4.9215625000000003</v>
      </c>
      <c r="H8" s="33">
        <f ca="1">4.653878*OFFSET(H$113,MATCH($N$1,$C$113:$C$114,0)-1,0)</f>
        <v>4.6538779999999997</v>
      </c>
      <c r="I8" s="33">
        <f ca="1">5.2281785*OFFSET(I$113,MATCH($N$1,$C$113:$C$114,0)-1,0)</f>
        <v>5.2281785000000003</v>
      </c>
      <c r="J8" s="33">
        <f ca="1">6.8534505*OFFSET(J$113,MATCH($N$1,$C$113:$C$114,0)-1,0)</f>
        <v>6.8534505000000001</v>
      </c>
      <c r="K8" s="33">
        <f ca="1">6.7077935*OFFSET(K$113,MATCH($N$1,$C$113:$C$114,0)-1,0)</f>
        <v>6.7077935000000002</v>
      </c>
      <c r="L8" s="33">
        <f ca="1">3.48929975*OFFSET(L$113,MATCH($N$1,$C$113:$C$114,0)-1,0)</f>
        <v>3.4892997499999998</v>
      </c>
      <c r="M8" s="33">
        <f ca="1">2.0911245*OFFSET(M$113,MATCH($N$1,$C$113:$C$114,0)-1,0)</f>
        <v>2.0911244999999998</v>
      </c>
      <c r="N8" s="33">
        <v>1.6540878749999999</v>
      </c>
      <c r="O8" s="29">
        <f t="shared" ca="1" si="0"/>
        <v>-0.74377143224934583</v>
      </c>
      <c r="P8" s="29">
        <f t="shared" ca="1" si="1"/>
        <v>-0.75864889153281256</v>
      </c>
    </row>
    <row r="9" spans="1:17" ht="18" customHeight="1">
      <c r="A9" s="185"/>
      <c r="B9" s="30" t="s">
        <v>195</v>
      </c>
      <c r="C9" s="31"/>
      <c r="D9" s="31">
        <v>2231</v>
      </c>
      <c r="E9" s="31">
        <v>2582</v>
      </c>
      <c r="F9" s="31">
        <v>1697</v>
      </c>
      <c r="G9" s="31">
        <v>2314</v>
      </c>
      <c r="H9" s="31">
        <v>1617</v>
      </c>
      <c r="I9" s="31">
        <v>1739</v>
      </c>
      <c r="J9" s="31">
        <v>2228</v>
      </c>
      <c r="K9" s="31">
        <v>2553</v>
      </c>
      <c r="L9" s="31">
        <v>1610</v>
      </c>
      <c r="M9" s="31">
        <v>935</v>
      </c>
      <c r="N9" s="31">
        <v>659</v>
      </c>
      <c r="O9" s="29">
        <f t="shared" si="0"/>
        <v>-0.70461676378305693</v>
      </c>
      <c r="P9" s="29">
        <f t="shared" si="1"/>
        <v>-0.70421903052064627</v>
      </c>
    </row>
    <row r="10" spans="1:17" ht="18" customHeight="1">
      <c r="A10" s="185"/>
      <c r="B10" s="30" t="s">
        <v>196</v>
      </c>
      <c r="C10" s="31"/>
      <c r="D10" s="31">
        <v>1497.05</v>
      </c>
      <c r="E10" s="31">
        <v>1806.75</v>
      </c>
      <c r="F10" s="31">
        <v>1080.7</v>
      </c>
      <c r="G10" s="31">
        <v>1618.9</v>
      </c>
      <c r="H10" s="31">
        <v>1113.3500000000001</v>
      </c>
      <c r="I10" s="31">
        <v>1117.95</v>
      </c>
      <c r="J10" s="31">
        <v>1561.55</v>
      </c>
      <c r="K10" s="31">
        <v>1688.9</v>
      </c>
      <c r="L10" s="31">
        <v>1201.8500000000001</v>
      </c>
      <c r="M10" s="31">
        <v>702.6</v>
      </c>
      <c r="N10" s="31">
        <v>444.35</v>
      </c>
      <c r="O10" s="29">
        <f t="shared" si="0"/>
        <v>-0.70318292642196312</v>
      </c>
      <c r="P10" s="29">
        <f t="shared" si="1"/>
        <v>-0.71544298933751715</v>
      </c>
    </row>
    <row r="11" spans="1:17" ht="18" customHeight="1">
      <c r="A11" s="185"/>
      <c r="B11" s="30" t="s">
        <v>197</v>
      </c>
      <c r="C11" s="31"/>
      <c r="D11" s="31">
        <v>62.556381225585938</v>
      </c>
      <c r="E11" s="31">
        <v>85.43438720703125</v>
      </c>
      <c r="F11" s="31">
        <v>34.1922607421875</v>
      </c>
      <c r="G11" s="31">
        <v>61.326725006103516</v>
      </c>
      <c r="H11" s="31">
        <v>42.306266784667969</v>
      </c>
      <c r="I11" s="31">
        <v>63.665752410888672</v>
      </c>
      <c r="J11" s="31">
        <v>62.586879730224609</v>
      </c>
      <c r="K11" s="31">
        <v>91.949653625488281</v>
      </c>
      <c r="L11" s="31">
        <v>49.756343841552734</v>
      </c>
      <c r="M11" s="31">
        <v>36.311336517333984</v>
      </c>
      <c r="N11" s="31">
        <v>24.619054794311523</v>
      </c>
      <c r="O11" s="34">
        <f t="shared" si="0"/>
        <v>-0.6064501444619661</v>
      </c>
      <c r="P11" s="34">
        <f t="shared" si="1"/>
        <v>-0.60664192079186796</v>
      </c>
    </row>
    <row r="12" spans="1:17" ht="18" customHeight="1">
      <c r="A12" s="186" t="s">
        <v>198</v>
      </c>
      <c r="B12" s="35" t="s">
        <v>199</v>
      </c>
      <c r="C12" s="36"/>
      <c r="D12" s="36">
        <v>15.719090461730957</v>
      </c>
      <c r="E12" s="36">
        <v>16.469524383544922</v>
      </c>
      <c r="F12" s="36">
        <v>15.020666122436523</v>
      </c>
      <c r="G12" s="36">
        <v>15.974545478820801</v>
      </c>
      <c r="H12" s="36">
        <v>15.915384292602539</v>
      </c>
      <c r="I12" s="36">
        <v>15.110526084899902</v>
      </c>
      <c r="J12" s="36">
        <v>15.835263252258301</v>
      </c>
      <c r="K12" s="36">
        <v>15.00666618347168</v>
      </c>
      <c r="L12" s="36">
        <v>15.739166259765625</v>
      </c>
      <c r="M12" s="36">
        <v>15.955999374389648</v>
      </c>
      <c r="N12" s="36">
        <v>15.058750152587891</v>
      </c>
      <c r="O12" s="29">
        <f t="shared" si="0"/>
        <v>-4.2008811562647561E-2</v>
      </c>
      <c r="P12" s="29">
        <f t="shared" si="1"/>
        <v>-4.903695551506982E-2</v>
      </c>
    </row>
    <row r="13" spans="1:17" ht="18" customHeight="1">
      <c r="A13" s="187"/>
      <c r="B13" s="37" t="s">
        <v>190</v>
      </c>
      <c r="C13" s="31"/>
      <c r="D13" s="31">
        <v>211.31817626953125</v>
      </c>
      <c r="E13" s="31">
        <v>215.42857360839844</v>
      </c>
      <c r="F13" s="31">
        <v>196.93333435058594</v>
      </c>
      <c r="G13" s="31">
        <v>211.59091186523438</v>
      </c>
      <c r="H13" s="31">
        <v>209.38461303710938</v>
      </c>
      <c r="I13" s="31">
        <v>197.63157653808594</v>
      </c>
      <c r="J13" s="31">
        <v>217.10527038574219</v>
      </c>
      <c r="K13" s="31">
        <v>205.77777099609375</v>
      </c>
      <c r="L13" s="31">
        <v>235.83332824707031</v>
      </c>
      <c r="M13" s="31">
        <v>240.69999694824219</v>
      </c>
      <c r="N13" s="31">
        <v>205.625</v>
      </c>
      <c r="O13" s="29">
        <f t="shared" si="0"/>
        <v>-2.6941252144206188E-2</v>
      </c>
      <c r="P13" s="29">
        <f t="shared" si="1"/>
        <v>-5.287881941025474E-2</v>
      </c>
    </row>
    <row r="14" spans="1:17" ht="18" customHeight="1">
      <c r="A14" s="187"/>
      <c r="B14" s="37" t="s">
        <v>191</v>
      </c>
      <c r="C14" s="31"/>
      <c r="D14" s="31">
        <v>57.090908050537109</v>
      </c>
      <c r="E14" s="31">
        <v>64.666664123535156</v>
      </c>
      <c r="F14" s="31">
        <v>51.933334350585938</v>
      </c>
      <c r="G14" s="31">
        <v>62.409091949462891</v>
      </c>
      <c r="H14" s="31">
        <v>62.769229888916016</v>
      </c>
      <c r="I14" s="31">
        <v>51.473682403564453</v>
      </c>
      <c r="J14" s="31">
        <v>62</v>
      </c>
      <c r="K14" s="31">
        <v>53.5</v>
      </c>
      <c r="L14" s="31">
        <v>63.166667938232422</v>
      </c>
      <c r="M14" s="31">
        <v>64.099998474121094</v>
      </c>
      <c r="N14" s="31">
        <v>55.5</v>
      </c>
      <c r="O14" s="29">
        <f t="shared" si="0"/>
        <v>-2.7866224322948777E-2</v>
      </c>
      <c r="P14" s="29">
        <f t="shared" si="1"/>
        <v>-0.10483870967741936</v>
      </c>
    </row>
    <row r="15" spans="1:17" ht="18" customHeight="1">
      <c r="A15" s="187"/>
      <c r="B15" s="37" t="s">
        <v>192</v>
      </c>
      <c r="C15" s="31"/>
      <c r="D15" s="31">
        <v>180.74552917480469</v>
      </c>
      <c r="E15" s="31">
        <v>191.63081359863281</v>
      </c>
      <c r="F15" s="31">
        <v>169.58474731445313</v>
      </c>
      <c r="G15" s="31">
        <v>187.21943664550781</v>
      </c>
      <c r="H15" s="31">
        <v>187.38298034667969</v>
      </c>
      <c r="I15" s="31">
        <v>173.82569885253906</v>
      </c>
      <c r="J15" s="31">
        <v>188.67474365234375</v>
      </c>
      <c r="K15" s="31">
        <v>176.42903137207031</v>
      </c>
      <c r="L15" s="31">
        <v>198.29360961914063</v>
      </c>
      <c r="M15" s="31">
        <v>202.35546875</v>
      </c>
      <c r="N15" s="31">
        <v>180.41119384765625</v>
      </c>
      <c r="O15" s="29">
        <f t="shared" si="0"/>
        <v>-1.8497571069937297E-3</v>
      </c>
      <c r="P15" s="29">
        <f t="shared" si="1"/>
        <v>-4.3797858922305463E-2</v>
      </c>
    </row>
    <row r="16" spans="1:17" ht="18" customHeight="1">
      <c r="A16" s="187"/>
      <c r="B16" s="37" t="s">
        <v>193</v>
      </c>
      <c r="C16" s="33"/>
      <c r="D16" s="33">
        <v>171.27239990234375</v>
      </c>
      <c r="E16" s="33">
        <v>212.04693603515625</v>
      </c>
      <c r="F16" s="33">
        <v>116.68698883056641</v>
      </c>
      <c r="G16" s="33">
        <v>97.694259643554688</v>
      </c>
      <c r="H16" s="33">
        <v>130.28169250488281</v>
      </c>
      <c r="I16" s="33">
        <v>85.251312255859375</v>
      </c>
      <c r="J16" s="33">
        <v>129.25735473632813</v>
      </c>
      <c r="K16" s="33">
        <v>116.2633056640625</v>
      </c>
      <c r="L16" s="33">
        <v>132.85734558105469</v>
      </c>
      <c r="M16" s="33">
        <v>89.270828247070313</v>
      </c>
      <c r="N16" s="33">
        <v>67.517585754394531</v>
      </c>
      <c r="O16" s="29">
        <f t="shared" si="0"/>
        <v>-0.60578828933971984</v>
      </c>
      <c r="P16" s="29">
        <f t="shared" si="1"/>
        <v>-0.47764994965181246</v>
      </c>
    </row>
    <row r="17" spans="1:16" ht="18" customHeight="1">
      <c r="A17" s="187"/>
      <c r="B17" s="37" t="s">
        <v>200</v>
      </c>
      <c r="C17" s="33"/>
      <c r="D17" s="33">
        <f ca="1">293.43259375*OFFSET(D$113,MATCH($N$1,$C$113:$C$114,0)-1,0)</f>
        <v>293.43259375000002</v>
      </c>
      <c r="E17" s="33">
        <f ca="1">332.06509375*OFFSET(E$113,MATCH($N$1,$C$113:$C$114,0)-1,0)</f>
        <v>332.06509375000002</v>
      </c>
      <c r="F17" s="33">
        <f ca="1">243.83678125*OFFSET(F$113,MATCH($N$1,$C$113:$C$114,0)-1,0)</f>
        <v>243.83678125</v>
      </c>
      <c r="G17" s="33">
        <f ca="1">223.707390625*OFFSET(G$113,MATCH($N$1,$C$113:$C$114,0)-1,0)</f>
        <v>223.70739062499999</v>
      </c>
      <c r="H17" s="33">
        <f ca="1">357.990625*OFFSET(H$113,MATCH($N$1,$C$113:$C$114,0)-1,0)</f>
        <v>357.99062500000002</v>
      </c>
      <c r="I17" s="33">
        <f ca="1">275.16728125*OFFSET(I$113,MATCH($N$1,$C$113:$C$114,0)-1,0)</f>
        <v>275.16728124999997</v>
      </c>
      <c r="J17" s="33">
        <f ca="1">360.70790625*OFFSET(J$113,MATCH($N$1,$C$113:$C$114,0)-1,0)</f>
        <v>360.70790625000001</v>
      </c>
      <c r="K17" s="33">
        <f ca="1">372.6551875*OFFSET(K$113,MATCH($N$1,$C$113:$C$114,0)-1,0)</f>
        <v>372.65518750000001</v>
      </c>
      <c r="L17" s="33">
        <f ca="1">290.775*OFFSET(L$113,MATCH($N$1,$C$113:$C$114,0)-1,0)</f>
        <v>290.77499999999998</v>
      </c>
      <c r="M17" s="33">
        <f ca="1">209.112453125*OFFSET(M$113,MATCH($N$1,$C$113:$C$114,0)-1,0)</f>
        <v>209.112453125</v>
      </c>
      <c r="N17" s="33">
        <v>206.76098437499999</v>
      </c>
      <c r="O17" s="29">
        <f t="shared" ca="1" si="0"/>
        <v>-0.29537144550766192</v>
      </c>
      <c r="P17" s="29">
        <f t="shared" ca="1" si="1"/>
        <v>-0.42679109386724184</v>
      </c>
    </row>
    <row r="18" spans="1:16" ht="18" customHeight="1">
      <c r="A18" s="187"/>
      <c r="B18" s="37" t="s">
        <v>195</v>
      </c>
      <c r="C18" s="31"/>
      <c r="D18" s="31">
        <v>101.40908813476563</v>
      </c>
      <c r="E18" s="31">
        <v>122.95237731933594</v>
      </c>
      <c r="F18" s="31">
        <v>113.13333129882813</v>
      </c>
      <c r="G18" s="31">
        <v>105.18181610107422</v>
      </c>
      <c r="H18" s="31">
        <v>124.38461303710938</v>
      </c>
      <c r="I18" s="31">
        <v>91.526313781738281</v>
      </c>
      <c r="J18" s="31">
        <v>117.26316070556641</v>
      </c>
      <c r="K18" s="31">
        <v>141.83332824707031</v>
      </c>
      <c r="L18" s="31">
        <v>134.16667175292969</v>
      </c>
      <c r="M18" s="31">
        <v>93.5</v>
      </c>
      <c r="N18" s="31">
        <v>82.375</v>
      </c>
      <c r="O18" s="29">
        <f t="shared" si="0"/>
        <v>-0.18769607818059311</v>
      </c>
      <c r="P18" s="29">
        <f t="shared" si="1"/>
        <v>-0.29752021432516518</v>
      </c>
    </row>
    <row r="19" spans="1:16" ht="18" customHeight="1">
      <c r="A19" s="187"/>
      <c r="B19" s="37" t="s">
        <v>201</v>
      </c>
      <c r="C19" s="31"/>
      <c r="D19" s="31">
        <v>28.681818008422852</v>
      </c>
      <c r="E19" s="31">
        <v>28.619047164916992</v>
      </c>
      <c r="F19" s="31">
        <v>26.266666412353516</v>
      </c>
      <c r="G19" s="31">
        <v>29</v>
      </c>
      <c r="H19" s="31">
        <v>27.846153259277344</v>
      </c>
      <c r="I19" s="31">
        <v>29.421052932739258</v>
      </c>
      <c r="J19" s="31">
        <v>33.105262756347656</v>
      </c>
      <c r="K19" s="31">
        <v>37</v>
      </c>
      <c r="L19" s="31">
        <v>31.666666030883789</v>
      </c>
      <c r="M19" s="31">
        <v>29.799999237060547</v>
      </c>
      <c r="N19" s="31">
        <v>30</v>
      </c>
      <c r="O19" s="29">
        <f t="shared" si="0"/>
        <v>4.5958801885921045E-2</v>
      </c>
      <c r="P19" s="29">
        <f t="shared" si="1"/>
        <v>-9.3799671043307095E-2</v>
      </c>
    </row>
    <row r="20" spans="1:16" ht="18" customHeight="1">
      <c r="A20" s="187"/>
      <c r="B20" s="37" t="s">
        <v>202</v>
      </c>
      <c r="C20" s="38"/>
      <c r="D20" s="38">
        <v>1.6889255046844482</v>
      </c>
      <c r="E20" s="38">
        <v>1.7246265411376953</v>
      </c>
      <c r="F20" s="38">
        <v>1.0314112901687622</v>
      </c>
      <c r="G20" s="38">
        <v>0.92881321907043457</v>
      </c>
      <c r="H20" s="38">
        <v>1.0474100112915039</v>
      </c>
      <c r="I20" s="38">
        <v>0.93144047260284424</v>
      </c>
      <c r="J20" s="38">
        <v>1.1022844314575195</v>
      </c>
      <c r="K20" s="38">
        <v>0.81971782445907593</v>
      </c>
      <c r="L20" s="38">
        <v>0.99024105072021484</v>
      </c>
      <c r="M20" s="38">
        <v>0.95476824045181274</v>
      </c>
      <c r="N20" s="38">
        <v>0.81963688135147095</v>
      </c>
      <c r="O20" s="29">
        <f t="shared" si="0"/>
        <v>-0.51469921019126985</v>
      </c>
      <c r="P20" s="29">
        <f t="shared" si="1"/>
        <v>-0.25641979695958483</v>
      </c>
    </row>
    <row r="21" spans="1:16" ht="18" customHeight="1">
      <c r="A21" s="188"/>
      <c r="B21" s="39" t="s">
        <v>203</v>
      </c>
      <c r="C21" s="40"/>
      <c r="D21" s="40">
        <f ca="1">1713*OFFSET(D$113,MATCH($N$1,$C$113:$C$114,0)-1,0)</f>
        <v>1713</v>
      </c>
      <c r="E21" s="40">
        <f ca="1">1566*OFFSET(E$113,MATCH($N$1,$C$113:$C$114,0)-1,0)</f>
        <v>1566</v>
      </c>
      <c r="F21" s="40">
        <f ca="1">2090*OFFSET(F$113,MATCH($N$1,$C$113:$C$114,0)-1,0)</f>
        <v>2090</v>
      </c>
      <c r="G21" s="40">
        <f ca="1">2290*OFFSET(G$113,MATCH($N$1,$C$113:$C$114,0)-1,0)</f>
        <v>2290</v>
      </c>
      <c r="H21" s="40">
        <f ca="1">2748*OFFSET(H$113,MATCH($N$1,$C$113:$C$114,0)-1,0)</f>
        <v>2748</v>
      </c>
      <c r="I21" s="40">
        <f ca="1">3228*OFFSET(I$113,MATCH($N$1,$C$113:$C$114,0)-1,0)</f>
        <v>3228</v>
      </c>
      <c r="J21" s="40">
        <f ca="1">2791*OFFSET(J$113,MATCH($N$1,$C$113:$C$114,0)-1,0)</f>
        <v>2791</v>
      </c>
      <c r="K21" s="40">
        <f ca="1">3205*OFFSET(K$113,MATCH($N$1,$C$113:$C$114,0)-1,0)</f>
        <v>3205</v>
      </c>
      <c r="L21" s="40">
        <f ca="1">2189*OFFSET(L$113,MATCH($N$1,$C$113:$C$114,0)-1,0)</f>
        <v>2189</v>
      </c>
      <c r="M21" s="40">
        <f ca="1">2342*OFFSET(M$113,MATCH($N$1,$C$113:$C$114,0)-1,0)</f>
        <v>2342</v>
      </c>
      <c r="N21" s="40">
        <v>3062</v>
      </c>
      <c r="O21" s="34">
        <f t="shared" ca="1" si="0"/>
        <v>0.78750729713952128</v>
      </c>
      <c r="P21" s="34">
        <f t="shared" ca="1" si="1"/>
        <v>9.7097814403439633E-2</v>
      </c>
    </row>
    <row r="22" spans="1:16" ht="18" customHeight="1">
      <c r="A22" s="189" t="s">
        <v>204</v>
      </c>
      <c r="B22" s="35" t="s">
        <v>205</v>
      </c>
      <c r="C22" s="41"/>
      <c r="D22" s="41">
        <v>7.6653301368914653</v>
      </c>
      <c r="E22" s="41">
        <v>7.9114962639964865</v>
      </c>
      <c r="F22" s="41">
        <v>4.9696754209153182</v>
      </c>
      <c r="G22" s="41">
        <v>3.9697490227701131</v>
      </c>
      <c r="H22" s="41">
        <v>4.6242700814748918</v>
      </c>
      <c r="I22" s="41">
        <v>4.4578426280563193</v>
      </c>
      <c r="J22" s="41">
        <v>4.7330681450512442</v>
      </c>
      <c r="K22" s="41">
        <v>3.7099456485360918</v>
      </c>
      <c r="L22" s="41">
        <v>3.8839985959231096</v>
      </c>
      <c r="M22" s="41">
        <v>3.6391768715301489</v>
      </c>
      <c r="N22" s="41">
        <v>3.4563916097800402</v>
      </c>
      <c r="O22" s="29">
        <f t="shared" si="0"/>
        <v>-0.54908770424052245</v>
      </c>
      <c r="P22" s="29">
        <f t="shared" si="1"/>
        <v>-0.26973550689441461</v>
      </c>
    </row>
    <row r="23" spans="1:16" ht="18" customHeight="1">
      <c r="A23" s="189"/>
      <c r="B23" s="37" t="s">
        <v>206</v>
      </c>
      <c r="C23" s="38"/>
      <c r="D23" s="38">
        <f ca="1">13.1326337769576*OFFSET(D$113,MATCH($N$1,$C$113:$C$114,0)-1,0)</f>
        <v>13.132633776957601</v>
      </c>
      <c r="E23" s="38">
        <f ca="1">12.3893879238661*OFFSET(E$113,MATCH($N$1,$C$113:$C$114,0)-1,0)</f>
        <v>12.389387923866099</v>
      </c>
      <c r="F23" s="38">
        <f ca="1">10.3849595455136*OFFSET(F$113,MATCH($N$1,$C$113:$C$114,0)-1,0)</f>
        <v>10.384959545513601</v>
      </c>
      <c r="G23" s="38">
        <f ca="1">9.09021879648007*OFFSET(G$113,MATCH($N$1,$C$113:$C$114,0)-1,0)</f>
        <v>9.0902187964800696</v>
      </c>
      <c r="H23" s="38">
        <f ca="1">12.7066612722578*OFFSET(H$113,MATCH($N$1,$C$113:$C$114,0)-1,0)</f>
        <v>12.706661272257801</v>
      </c>
      <c r="I23" s="38">
        <f ca="1">14.388663397006*OFFSET(I$113,MATCH($N$1,$C$113:$C$114,0)-1,0)</f>
        <v>14.388663397006001</v>
      </c>
      <c r="J23" s="38">
        <f ca="1">13.2081853618514*OFFSET(J$113,MATCH($N$1,$C$113:$C$114,0)-1,0)</f>
        <v>13.208185361851401</v>
      </c>
      <c r="K23" s="38">
        <f ca="1">11.8913743538721*OFFSET(K$113,MATCH($N$1,$C$113:$C$114,0)-1,0)</f>
        <v>11.8913743538721</v>
      </c>
      <c r="L23" s="38">
        <f ca="1">8.50061911737147*OFFSET(L$113,MATCH($N$1,$C$113:$C$114,0)-1,0)</f>
        <v>8.5006191173714694</v>
      </c>
      <c r="M23" s="38">
        <f ca="1">8.52458992376837*OFFSET(M$113,MATCH($N$1,$C$113:$C$114,0)-1,0)</f>
        <v>8.5245899237683709</v>
      </c>
      <c r="N23" s="38">
        <v>10.584604346240233</v>
      </c>
      <c r="O23" s="29">
        <f t="shared" ca="1" si="0"/>
        <v>-0.19402272796094538</v>
      </c>
      <c r="P23" s="29">
        <f t="shared" ca="1" si="1"/>
        <v>-0.19863296461516483</v>
      </c>
    </row>
    <row r="24" spans="1:16" ht="18" customHeight="1">
      <c r="A24" s="189"/>
      <c r="B24" s="37" t="s">
        <v>153</v>
      </c>
      <c r="C24" s="38"/>
      <c r="D24" s="38">
        <f ca="1">12.8139057896093*OFFSET(D$113,MATCH($N$1,$C$113:$C$114,0)-1,0)</f>
        <v>12.813905789609301</v>
      </c>
      <c r="E24" s="38">
        <f ca="1">11.6496974856259*OFFSET(E$113,MATCH($N$1,$C$113:$C$114,0)-1,0)</f>
        <v>11.6496974856259</v>
      </c>
      <c r="F24" s="38">
        <f ca="1">9.7175417068095*OFFSET(F$113,MATCH($N$1,$C$113:$C$114,0)-1,0)</f>
        <v>9.7175417068095005</v>
      </c>
      <c r="G24" s="38">
        <f ca="1">8.14215350649996*OFFSET(G$113,MATCH($N$1,$C$113:$C$114,0)-1,0)</f>
        <v>8.1421535064999606</v>
      </c>
      <c r="H24" s="38">
        <f ca="1">10.6980660692493*OFFSET(H$113,MATCH($N$1,$C$113:$C$114,0)-1,0)</f>
        <v>10.6980660692493</v>
      </c>
      <c r="I24" s="38">
        <f ca="1">13.8083577951912*OFFSET(I$113,MATCH($N$1,$C$113:$C$114,0)-1,0)</f>
        <v>13.808357795191201</v>
      </c>
      <c r="J24" s="38">
        <f ca="1">13.0113476747666*OFFSET(J$113,MATCH($N$1,$C$113:$C$114,0)-1,0)</f>
        <v>13.011347674766601</v>
      </c>
      <c r="K24" s="38">
        <f ca="1">11.346405775111*OFFSET(K$113,MATCH($N$1,$C$113:$C$114,0)-1,0)</f>
        <v>11.346405775111</v>
      </c>
      <c r="L24" s="38">
        <f ca="1">8.46528811654366*OFFSET(L$113,MATCH($N$1,$C$113:$C$114,0)-1,0)</f>
        <v>8.4652881165436593</v>
      </c>
      <c r="M24" s="38">
        <f ca="1">9.48621840826981*OFFSET(M$113,MATCH($N$1,$C$113:$C$114,0)-1,0)</f>
        <v>9.48621840826981</v>
      </c>
      <c r="N24" s="38">
        <v>10.649640872863515</v>
      </c>
      <c r="O24" s="29">
        <f t="shared" ca="1" si="0"/>
        <v>-0.16889970570103396</v>
      </c>
      <c r="P24" s="29">
        <f t="shared" ca="1" si="1"/>
        <v>-0.18151131311964197</v>
      </c>
    </row>
    <row r="25" spans="1:16" ht="18" customHeight="1">
      <c r="A25" s="189"/>
      <c r="B25" s="37" t="s">
        <v>154</v>
      </c>
      <c r="C25" s="38"/>
      <c r="D25" s="38">
        <f ca="1">2.64574023174102*OFFSET(D$113,MATCH($N$1,$C$113:$C$114,0)-1,0)</f>
        <v>2.6457402317410201</v>
      </c>
      <c r="E25" s="38">
        <f ca="1">2.0594293344538*OFFSET(E$113,MATCH($N$1,$C$113:$C$114,0)-1,0)</f>
        <v>2.0594293344537999</v>
      </c>
      <c r="F25" s="38">
        <f ca="1">1.56976649976235*OFFSET(F$113,MATCH($N$1,$C$113:$C$114,0)-1,0)</f>
        <v>1.5697664997623499</v>
      </c>
      <c r="G25" s="38">
        <f ca="1">1.55172764910786*OFFSET(G$113,MATCH($N$1,$C$113:$C$114,0)-1,0)</f>
        <v>1.55172764910786</v>
      </c>
      <c r="H25" s="38">
        <f ca="1">2.05974178380973*OFFSET(H$113,MATCH($N$1,$C$113:$C$114,0)-1,0)</f>
        <v>2.0597417838097298</v>
      </c>
      <c r="I25" s="38">
        <f ca="1">5.30595824881218*OFFSET(I$113,MATCH($N$1,$C$113:$C$114,0)-1,0)</f>
        <v>5.3059582488121801</v>
      </c>
      <c r="J25" s="38">
        <f ca="1">2.07786847259102*OFFSET(J$113,MATCH($N$1,$C$113:$C$114,0)-1,0)</f>
        <v>2.0778684725910201</v>
      </c>
      <c r="K25" s="38">
        <f ca="1">0.745242532999593*OFFSET(K$113,MATCH($N$1,$C$113:$C$114,0)-1,0)</f>
        <v>0.74524253299959298</v>
      </c>
      <c r="L25" s="38">
        <f ca="1">0.308152039421612*OFFSET(L$113,MATCH($N$1,$C$113:$C$114,0)-1,0)</f>
        <v>0.30815203942161201</v>
      </c>
      <c r="M25" s="38">
        <f ca="1">-0.476864340438434*OFFSET(M$113,MATCH($N$1,$C$113:$C$114,0)-1,0)</f>
        <v>-0.47686434043843401</v>
      </c>
      <c r="N25" s="38">
        <v>0.11322887021030505</v>
      </c>
      <c r="O25" s="29">
        <f t="shared" ca="1" si="0"/>
        <v>-0.95720333052659701</v>
      </c>
      <c r="P25" s="29">
        <f t="shared" ca="1" si="1"/>
        <v>-0.94550720042972058</v>
      </c>
    </row>
    <row r="26" spans="1:16" ht="18" customHeight="1">
      <c r="A26" s="189"/>
      <c r="B26" s="37" t="s">
        <v>207</v>
      </c>
      <c r="C26" s="33"/>
      <c r="D26" s="33">
        <f ca="1">103.18*OFFSET(D$113,MATCH($N$1,$C$113:$C$114,0)-1,0)</f>
        <v>103.18</v>
      </c>
      <c r="E26" s="33">
        <f ca="1">81.63*OFFSET(E$113,MATCH($N$1,$C$113:$C$114,0)-1,0)</f>
        <v>81.63</v>
      </c>
      <c r="F26" s="33">
        <f ca="1">106.95*OFFSET(F$113,MATCH($N$1,$C$113:$C$114,0)-1,0)</f>
        <v>106.95</v>
      </c>
      <c r="G26" s="33">
        <f ca="1">80.25*OFFSET(G$113,MATCH($N$1,$C$113:$C$114,0)-1,0)</f>
        <v>80.25</v>
      </c>
      <c r="H26" s="33">
        <f ca="1">110.01*OFFSET(H$113,MATCH($N$1,$C$113:$C$114,0)-1,0)</f>
        <v>110.01</v>
      </c>
      <c r="I26" s="33">
        <f ca="1">82.13*OFFSET(I$113,MATCH($N$1,$C$113:$C$114,0)-1,0)</f>
        <v>82.13</v>
      </c>
      <c r="J26" s="33">
        <f ca="1">109.5*OFFSET(J$113,MATCH($N$1,$C$113:$C$114,0)-1,0)</f>
        <v>109.5</v>
      </c>
      <c r="K26" s="33">
        <f ca="1">72.96*OFFSET(K$113,MATCH($N$1,$C$113:$C$114,0)-1,0)</f>
        <v>72.959999999999994</v>
      </c>
      <c r="L26" s="33">
        <f ca="1">70.13*OFFSET(L$113,MATCH($N$1,$C$113:$C$114,0)-1,0)</f>
        <v>70.13</v>
      </c>
      <c r="M26" s="33">
        <f ca="1">57.59*OFFSET(M$113,MATCH($N$1,$C$113:$C$114,0)-1,0)</f>
        <v>57.59</v>
      </c>
      <c r="N26" s="33">
        <v>67.2</v>
      </c>
      <c r="O26" s="29">
        <f t="shared" ca="1" si="0"/>
        <v>-0.3487109905020353</v>
      </c>
      <c r="P26" s="29">
        <f t="shared" ca="1" si="1"/>
        <v>-0.38630136986301367</v>
      </c>
    </row>
    <row r="27" spans="1:16" ht="18" customHeight="1">
      <c r="A27" s="190"/>
      <c r="B27" s="37" t="s">
        <v>208</v>
      </c>
      <c r="C27" s="33"/>
      <c r="D27" s="33">
        <f ca="1">20.78*OFFSET(D$113,MATCH($N$1,$C$113:$C$114,0)-1,0)</f>
        <v>20.78</v>
      </c>
      <c r="E27" s="33">
        <f ca="1">13.57*OFFSET(E$113,MATCH($N$1,$C$113:$C$114,0)-1,0)</f>
        <v>13.57</v>
      </c>
      <c r="F27" s="33">
        <f ca="1">16.19*OFFSET(F$113,MATCH($N$1,$C$113:$C$114,0)-1,0)</f>
        <v>16.190000000000001</v>
      </c>
      <c r="G27" s="33">
        <f ca="1">13.7*OFFSET(G$113,MATCH($N$1,$C$113:$C$114,0)-1,0)</f>
        <v>13.7</v>
      </c>
      <c r="H27" s="33">
        <f ca="1">17.82*OFFSET(H$113,MATCH($N$1,$C$113:$C$114,0)-1,0)</f>
        <v>17.82</v>
      </c>
      <c r="I27" s="33">
        <f ca="1">30.29*OFFSET(I$113,MATCH($N$1,$C$113:$C$114,0)-1,0)</f>
        <v>30.29</v>
      </c>
      <c r="J27" s="33">
        <f ca="1">17.21*OFFSET(J$113,MATCH($N$1,$C$113:$C$114,0)-1,0)</f>
        <v>17.21</v>
      </c>
      <c r="K27" s="33">
        <f ca="1">4.58*OFFSET(K$113,MATCH($N$1,$C$113:$C$114,0)-1,0)</f>
        <v>4.58</v>
      </c>
      <c r="L27" s="33">
        <f ca="1">2.53*OFFSET(L$113,MATCH($N$1,$C$113:$C$114,0)-1,0)</f>
        <v>2.5299999999999998</v>
      </c>
      <c r="M27" s="33">
        <f ca="1">-3.22*OFFSET(M$113,MATCH($N$1,$C$113:$C$114,0)-1,0)</f>
        <v>-3.22</v>
      </c>
      <c r="N27" s="33">
        <v>0.71</v>
      </c>
      <c r="O27" s="34">
        <f t="shared" ca="1" si="0"/>
        <v>-0.96583253128007696</v>
      </c>
      <c r="P27" s="34">
        <f t="shared" ca="1" si="1"/>
        <v>-0.95874491574665888</v>
      </c>
    </row>
    <row r="28" spans="1:16" s="78" customFormat="1" ht="18" customHeight="1">
      <c r="A28" s="191" t="s">
        <v>209</v>
      </c>
      <c r="B28" s="82" t="s">
        <v>200</v>
      </c>
      <c r="C28" s="83"/>
      <c r="D28" s="83">
        <f ca="1">293.4*OFFSET(D$113,MATCH($N$1,$C$113:$C$114,0)-1,0)</f>
        <v>293.39999999999998</v>
      </c>
      <c r="E28" s="83">
        <f ca="1">332.1*OFFSET(E$113,MATCH($N$1,$C$113:$C$114,0)-1,0)</f>
        <v>332.1</v>
      </c>
      <c r="F28" s="83">
        <f ca="1">243.8*OFFSET(F$113,MATCH($N$1,$C$113:$C$114,0)-1,0)</f>
        <v>243.8</v>
      </c>
      <c r="G28" s="83">
        <f ca="1">223.7*OFFSET(G$113,MATCH($N$1,$C$113:$C$114,0)-1,0)</f>
        <v>223.7</v>
      </c>
      <c r="H28" s="83">
        <f ca="1">358*OFFSET(H$113,MATCH($N$1,$C$113:$C$114,0)-1,0)</f>
        <v>358</v>
      </c>
      <c r="I28" s="83">
        <f ca="1">275.2*OFFSET(I$113,MATCH($N$1,$C$113:$C$114,0)-1,0)</f>
        <v>275.2</v>
      </c>
      <c r="J28" s="83">
        <f ca="1">360.7*OFFSET(J$113,MATCH($N$1,$C$113:$C$114,0)-1,0)</f>
        <v>360.7</v>
      </c>
      <c r="K28" s="83">
        <f ca="1">372.7*OFFSET(K$113,MATCH($N$1,$C$113:$C$114,0)-1,0)</f>
        <v>372.7</v>
      </c>
      <c r="L28" s="83">
        <f ca="1">290.8*OFFSET(L$113,MATCH($N$1,$C$113:$C$114,0)-1,0)</f>
        <v>290.8</v>
      </c>
      <c r="M28" s="83">
        <f ca="1">209.1*OFFSET(M$113,MATCH($N$1,$C$113:$C$114,0)-1,0)</f>
        <v>209.1</v>
      </c>
      <c r="N28" s="83">
        <v>206.8</v>
      </c>
      <c r="O28" s="84">
        <f t="shared" ca="1" si="0"/>
        <v>-0.29516019086571227</v>
      </c>
      <c r="P28" s="84">
        <f t="shared" ca="1" si="1"/>
        <v>-0.42667036318270024</v>
      </c>
    </row>
    <row r="29" spans="1:16" s="78" customFormat="1" ht="18" customHeight="1">
      <c r="A29" s="192"/>
      <c r="B29" s="85" t="s">
        <v>210</v>
      </c>
      <c r="C29" s="86"/>
      <c r="D29" s="86">
        <f ca="1">52*OFFSET(D$113,MATCH($N$1,$C$113:$C$114,0)-1,0)</f>
        <v>52</v>
      </c>
      <c r="E29" s="86">
        <f ca="1">35.4*OFFSET(E$113,MATCH($N$1,$C$113:$C$114,0)-1,0)</f>
        <v>35.4</v>
      </c>
      <c r="F29" s="86">
        <f ca="1">21.2*OFFSET(F$113,MATCH($N$1,$C$113:$C$114,0)-1,0)</f>
        <v>21.2</v>
      </c>
      <c r="G29" s="86">
        <f ca="1">14.9*OFFSET(G$113,MATCH($N$1,$C$113:$C$114,0)-1,0)</f>
        <v>14.9</v>
      </c>
      <c r="H29" s="86">
        <f ca="1">1.4*OFFSET(H$113,MATCH($N$1,$C$113:$C$114,0)-1,0)</f>
        <v>1.4</v>
      </c>
      <c r="I29" s="86">
        <f ca="1">90.4*OFFSET(I$113,MATCH($N$1,$C$113:$C$114,0)-1,0)</f>
        <v>90.4</v>
      </c>
      <c r="J29" s="86">
        <f ca="1">51.4*OFFSET(J$113,MATCH($N$1,$C$113:$C$114,0)-1,0)</f>
        <v>51.4</v>
      </c>
      <c r="K29" s="86">
        <f ca="1">6.3*OFFSET(K$113,MATCH($N$1,$C$113:$C$114,0)-1,0)</f>
        <v>6.3</v>
      </c>
      <c r="L29" s="86">
        <f ca="1">9.3*OFFSET(L$113,MATCH($N$1,$C$113:$C$114,0)-1,0)</f>
        <v>9.3000000000000007</v>
      </c>
      <c r="M29" s="86">
        <f ca="1">11.9*OFFSET(M$113,MATCH($N$1,$C$113:$C$114,0)-1,0)</f>
        <v>11.9</v>
      </c>
      <c r="N29" s="86">
        <v>3.5</v>
      </c>
      <c r="O29" s="84">
        <f t="shared" ca="1" si="0"/>
        <v>-0.93269230769230771</v>
      </c>
      <c r="P29" s="84">
        <f t="shared" ca="1" si="1"/>
        <v>-0.93190661478599224</v>
      </c>
    </row>
    <row r="30" spans="1:16" s="78" customFormat="1" ht="18" customHeight="1">
      <c r="A30" s="192"/>
      <c r="B30" s="87" t="s">
        <v>211</v>
      </c>
      <c r="C30" s="88"/>
      <c r="D30" s="88">
        <f ca="1">345.4*OFFSET(D$113,MATCH($N$1,$C$113:$C$114,0)-1,0)</f>
        <v>345.4</v>
      </c>
      <c r="E30" s="88">
        <f ca="1">367.4*OFFSET(E$113,MATCH($N$1,$C$113:$C$114,0)-1,0)</f>
        <v>367.4</v>
      </c>
      <c r="F30" s="88">
        <f ca="1">265*OFFSET(F$113,MATCH($N$1,$C$113:$C$114,0)-1,0)</f>
        <v>265</v>
      </c>
      <c r="G30" s="88">
        <f ca="1">238.6*OFFSET(G$113,MATCH($N$1,$C$113:$C$114,0)-1,0)</f>
        <v>238.6</v>
      </c>
      <c r="H30" s="88">
        <f ca="1">359.4*OFFSET(H$113,MATCH($N$1,$C$113:$C$114,0)-1,0)</f>
        <v>359.4</v>
      </c>
      <c r="I30" s="88">
        <f ca="1">365.5*OFFSET(I$113,MATCH($N$1,$C$113:$C$114,0)-1,0)</f>
        <v>365.5</v>
      </c>
      <c r="J30" s="88">
        <f ca="1">412.1*OFFSET(J$113,MATCH($N$1,$C$113:$C$114,0)-1,0)</f>
        <v>412.1</v>
      </c>
      <c r="K30" s="88">
        <f ca="1">378.9*OFFSET(K$113,MATCH($N$1,$C$113:$C$114,0)-1,0)</f>
        <v>378.9</v>
      </c>
      <c r="L30" s="88">
        <f ca="1">300.1*OFFSET(L$113,MATCH($N$1,$C$113:$C$114,0)-1,0)</f>
        <v>300.10000000000002</v>
      </c>
      <c r="M30" s="88">
        <f ca="1">221*OFFSET(M$113,MATCH($N$1,$C$113:$C$114,0)-1,0)</f>
        <v>221</v>
      </c>
      <c r="N30" s="88">
        <v>210.20000000000002</v>
      </c>
      <c r="O30" s="84">
        <f t="shared" ca="1" si="0"/>
        <v>-0.39143022582513021</v>
      </c>
      <c r="P30" s="84">
        <f t="shared" ca="1" si="1"/>
        <v>-0.48992962873089052</v>
      </c>
    </row>
    <row r="31" spans="1:16" s="78" customFormat="1" ht="18" customHeight="1">
      <c r="A31" s="192"/>
      <c r="B31" s="85" t="s">
        <v>212</v>
      </c>
      <c r="C31" s="86"/>
      <c r="D31" s="86">
        <f ca="1">48.2*OFFSET(D$113,MATCH($N$1,$C$113:$C$114,0)-1,0)</f>
        <v>48.2</v>
      </c>
      <c r="E31" s="86">
        <f ca="1">58*OFFSET(E$113,MATCH($N$1,$C$113:$C$114,0)-1,0)</f>
        <v>58</v>
      </c>
      <c r="F31" s="86">
        <f ca="1">44*OFFSET(F$113,MATCH($N$1,$C$113:$C$114,0)-1,0)</f>
        <v>44</v>
      </c>
      <c r="G31" s="86">
        <f ca="1">31.2*OFFSET(G$113,MATCH($N$1,$C$113:$C$114,0)-1,0)</f>
        <v>31.2</v>
      </c>
      <c r="H31" s="86">
        <f ca="1">34.2*OFFSET(H$113,MATCH($N$1,$C$113:$C$114,0)-1,0)</f>
        <v>34.200000000000003</v>
      </c>
      <c r="I31" s="86">
        <f ca="1">28.3*OFFSET(I$113,MATCH($N$1,$C$113:$C$114,0)-1,0)</f>
        <v>28.3</v>
      </c>
      <c r="J31" s="86">
        <f ca="1">47.1*OFFSET(J$113,MATCH($N$1,$C$113:$C$114,0)-1,0)</f>
        <v>47.1</v>
      </c>
      <c r="K31" s="86">
        <f ca="1">51.7*OFFSET(K$113,MATCH($N$1,$C$113:$C$114,0)-1,0)</f>
        <v>51.7</v>
      </c>
      <c r="L31" s="86">
        <f ca="1">38.2*OFFSET(L$113,MATCH($N$1,$C$113:$C$114,0)-1,0)</f>
        <v>38.200000000000003</v>
      </c>
      <c r="M31" s="86">
        <f ca="1">33.4*OFFSET(M$113,MATCH($N$1,$C$113:$C$114,0)-1,0)</f>
        <v>33.4</v>
      </c>
      <c r="N31" s="86">
        <v>46.800000000000004</v>
      </c>
      <c r="O31" s="84">
        <f t="shared" ca="1" si="0"/>
        <v>-2.9045643153526941E-2</v>
      </c>
      <c r="P31" s="84">
        <f t="shared" ca="1" si="1"/>
        <v>-6.3694267515922963E-3</v>
      </c>
    </row>
    <row r="32" spans="1:16" s="78" customFormat="1" ht="18" customHeight="1">
      <c r="A32" s="192"/>
      <c r="B32" s="85" t="s">
        <v>213</v>
      </c>
      <c r="C32" s="86"/>
      <c r="D32" s="86">
        <f ca="1">86*OFFSET(D$113,MATCH($N$1,$C$113:$C$114,0)-1,0)</f>
        <v>86</v>
      </c>
      <c r="E32" s="86">
        <f ca="1">80.1*OFFSET(E$113,MATCH($N$1,$C$113:$C$114,0)-1,0)</f>
        <v>80.099999999999994</v>
      </c>
      <c r="F32" s="86">
        <f ca="1">62.2*OFFSET(F$113,MATCH($N$1,$C$113:$C$114,0)-1,0)</f>
        <v>62.2</v>
      </c>
      <c r="G32" s="86">
        <f ca="1">48.5*OFFSET(G$113,MATCH($N$1,$C$113:$C$114,0)-1,0)</f>
        <v>48.5</v>
      </c>
      <c r="H32" s="86">
        <f ca="1">93.7*OFFSET(H$113,MATCH($N$1,$C$113:$C$114,0)-1,0)</f>
        <v>93.7</v>
      </c>
      <c r="I32" s="86">
        <f ca="1">71.3*OFFSET(I$113,MATCH($N$1,$C$113:$C$114,0)-1,0)</f>
        <v>71.3</v>
      </c>
      <c r="J32" s="86">
        <f ca="1">81*OFFSET(J$113,MATCH($N$1,$C$113:$C$114,0)-1,0)</f>
        <v>81</v>
      </c>
      <c r="K32" s="86">
        <f ca="1">88.2*OFFSET(K$113,MATCH($N$1,$C$113:$C$114,0)-1,0)</f>
        <v>88.2</v>
      </c>
      <c r="L32" s="86">
        <f ca="1">66*OFFSET(L$113,MATCH($N$1,$C$113:$C$114,0)-1,0)</f>
        <v>66</v>
      </c>
      <c r="M32" s="86">
        <f ca="1">49.1*OFFSET(M$113,MATCH($N$1,$C$113:$C$114,0)-1,0)</f>
        <v>49.1</v>
      </c>
      <c r="N32" s="86">
        <v>41.6</v>
      </c>
      <c r="O32" s="84">
        <f t="shared" ca="1" si="0"/>
        <v>-0.51627906976744187</v>
      </c>
      <c r="P32" s="84">
        <f t="shared" ca="1" si="1"/>
        <v>-0.48641975308641971</v>
      </c>
    </row>
    <row r="33" spans="1:16" s="78" customFormat="1" ht="18" customHeight="1">
      <c r="A33" s="192"/>
      <c r="B33" s="85" t="s">
        <v>214</v>
      </c>
      <c r="C33" s="86"/>
      <c r="D33" s="86">
        <f ca="1">78.7*OFFSET(D$113,MATCH($N$1,$C$113:$C$114,0)-1,0)</f>
        <v>78.7</v>
      </c>
      <c r="E33" s="86">
        <f ca="1">91.7*OFFSET(E$113,MATCH($N$1,$C$113:$C$114,0)-1,0)</f>
        <v>91.7</v>
      </c>
      <c r="F33" s="86">
        <f ca="1">61.7*OFFSET(F$113,MATCH($N$1,$C$113:$C$114,0)-1,0)</f>
        <v>61.7</v>
      </c>
      <c r="G33" s="86">
        <f ca="1">55.1*OFFSET(G$113,MATCH($N$1,$C$113:$C$114,0)-1,0)</f>
        <v>55.1</v>
      </c>
      <c r="H33" s="86">
        <f ca="1">92.8*OFFSET(H$113,MATCH($N$1,$C$113:$C$114,0)-1,0)</f>
        <v>92.8</v>
      </c>
      <c r="I33" s="86">
        <f ca="1">73.8*OFFSET(I$113,MATCH($N$1,$C$113:$C$114,0)-1,0)</f>
        <v>73.8</v>
      </c>
      <c r="J33" s="86">
        <f ca="1">96.1*OFFSET(J$113,MATCH($N$1,$C$113:$C$114,0)-1,0)</f>
        <v>96.1</v>
      </c>
      <c r="K33" s="86">
        <f ca="1">103.7*OFFSET(K$113,MATCH($N$1,$C$113:$C$114,0)-1,0)</f>
        <v>103.7</v>
      </c>
      <c r="L33" s="86">
        <f ca="1">88.2*OFFSET(L$113,MATCH($N$1,$C$113:$C$114,0)-1,0)</f>
        <v>88.2</v>
      </c>
      <c r="M33" s="86">
        <f ca="1">62.6*OFFSET(M$113,MATCH($N$1,$C$113:$C$114,0)-1,0)</f>
        <v>62.6</v>
      </c>
      <c r="N33" s="86">
        <v>57.5</v>
      </c>
      <c r="O33" s="84">
        <f t="shared" ca="1" si="0"/>
        <v>-0.26937738246505721</v>
      </c>
      <c r="P33" s="84">
        <f t="shared" ca="1" si="1"/>
        <v>-0.40166493236212275</v>
      </c>
    </row>
    <row r="34" spans="1:16" s="78" customFormat="1" ht="18" customHeight="1">
      <c r="A34" s="192"/>
      <c r="B34" s="85" t="s">
        <v>215</v>
      </c>
      <c r="C34" s="86"/>
      <c r="D34" s="86">
        <f ca="1">212.8*OFFSET(D$113,MATCH($N$1,$C$113:$C$114,0)-1,0)</f>
        <v>212.8</v>
      </c>
      <c r="E34" s="86">
        <f ca="1">229.8*OFFSET(E$113,MATCH($N$1,$C$113:$C$114,0)-1,0)</f>
        <v>229.8</v>
      </c>
      <c r="F34" s="86">
        <f ca="1">168*OFFSET(F$113,MATCH($N$1,$C$113:$C$114,0)-1,0)</f>
        <v>168</v>
      </c>
      <c r="G34" s="86">
        <f ca="1">134.8*OFFSET(G$113,MATCH($N$1,$C$113:$C$114,0)-1,0)</f>
        <v>134.80000000000001</v>
      </c>
      <c r="H34" s="86">
        <f ca="1">220.7*OFFSET(H$113,MATCH($N$1,$C$113:$C$114,0)-1,0)</f>
        <v>220.7</v>
      </c>
      <c r="I34" s="86">
        <f ca="1">173.3*OFFSET(I$113,MATCH($N$1,$C$113:$C$114,0)-1,0)</f>
        <v>173.3</v>
      </c>
      <c r="J34" s="86">
        <f ca="1">224.2*OFFSET(J$113,MATCH($N$1,$C$113:$C$114,0)-1,0)</f>
        <v>224.2</v>
      </c>
      <c r="K34" s="86">
        <f ca="1">243.5*OFFSET(K$113,MATCH($N$1,$C$113:$C$114,0)-1,0)</f>
        <v>243.5</v>
      </c>
      <c r="L34" s="86">
        <f ca="1">192.4*OFFSET(L$113,MATCH($N$1,$C$113:$C$114,0)-1,0)</f>
        <v>192.4</v>
      </c>
      <c r="M34" s="86">
        <f ca="1">145.1*OFFSET(M$113,MATCH($N$1,$C$113:$C$114,0)-1,0)</f>
        <v>145.1</v>
      </c>
      <c r="N34" s="86">
        <v>145.9</v>
      </c>
      <c r="O34" s="84">
        <f t="shared" ca="1" si="0"/>
        <v>-0.31437969924812031</v>
      </c>
      <c r="P34" s="84">
        <f t="shared" ca="1" si="1"/>
        <v>-0.34924174843889377</v>
      </c>
    </row>
    <row r="35" spans="1:16" s="78" customFormat="1" ht="18" customHeight="1">
      <c r="A35" s="192"/>
      <c r="B35" s="85" t="s">
        <v>216</v>
      </c>
      <c r="C35" s="86"/>
      <c r="D35" s="86">
        <f ca="1">73.5*OFFSET(D$113,MATCH($N$1,$C$113:$C$114,0)-1,0)</f>
        <v>73.5</v>
      </c>
      <c r="E35" s="86">
        <f ca="1">82.4*OFFSET(E$113,MATCH($N$1,$C$113:$C$114,0)-1,0)</f>
        <v>82.4</v>
      </c>
      <c r="F35" s="86">
        <f ca="1">60.2*OFFSET(F$113,MATCH($N$1,$C$113:$C$114,0)-1,0)</f>
        <v>60.2</v>
      </c>
      <c r="G35" s="86">
        <f ca="1">65.6*OFFSET(G$113,MATCH($N$1,$C$113:$C$114,0)-1,0)</f>
        <v>65.599999999999994</v>
      </c>
      <c r="H35" s="86">
        <f ca="1">80.7*OFFSET(H$113,MATCH($N$1,$C$113:$C$114,0)-1,0)</f>
        <v>80.7</v>
      </c>
      <c r="I35" s="86">
        <f ca="1">90.7*OFFSET(I$113,MATCH($N$1,$C$113:$C$114,0)-1,0)</f>
        <v>90.7</v>
      </c>
      <c r="J35" s="86">
        <f ca="1">131.2*OFFSET(J$113,MATCH($N$1,$C$113:$C$114,0)-1,0)</f>
        <v>131.19999999999999</v>
      </c>
      <c r="K35" s="86">
        <f ca="1">112*OFFSET(K$113,MATCH($N$1,$C$113:$C$114,0)-1,0)</f>
        <v>112</v>
      </c>
      <c r="L35" s="86">
        <f ca="1">97.1*OFFSET(L$113,MATCH($N$1,$C$113:$C$114,0)-1,0)</f>
        <v>97.1</v>
      </c>
      <c r="M35" s="86">
        <f ca="1">87.6*OFFSET(M$113,MATCH($N$1,$C$113:$C$114,0)-1,0)</f>
        <v>87.6</v>
      </c>
      <c r="N35" s="86">
        <v>62.2</v>
      </c>
      <c r="O35" s="84">
        <f t="shared" ca="1" si="0"/>
        <v>-0.15374149659863942</v>
      </c>
      <c r="P35" s="84">
        <f t="shared" ca="1" si="1"/>
        <v>-0.52591463414634143</v>
      </c>
    </row>
    <row r="36" spans="1:16" s="78" customFormat="1" ht="18" customHeight="1">
      <c r="A36" s="192"/>
      <c r="B36" s="85" t="s">
        <v>217</v>
      </c>
      <c r="C36" s="86"/>
      <c r="D36" s="86">
        <f ca="1">286.3*OFFSET(D$113,MATCH($N$1,$C$113:$C$114,0)-1,0)</f>
        <v>286.3</v>
      </c>
      <c r="E36" s="86">
        <f ca="1">312.2*OFFSET(E$113,MATCH($N$1,$C$113:$C$114,0)-1,0)</f>
        <v>312.2</v>
      </c>
      <c r="F36" s="86">
        <f ca="1">228.2*OFFSET(F$113,MATCH($N$1,$C$113:$C$114,0)-1,0)</f>
        <v>228.2</v>
      </c>
      <c r="G36" s="86">
        <f ca="1">200.4*OFFSET(G$113,MATCH($N$1,$C$113:$C$114,0)-1,0)</f>
        <v>200.4</v>
      </c>
      <c r="H36" s="86">
        <f ca="1">301.4*OFFSET(H$113,MATCH($N$1,$C$113:$C$114,0)-1,0)</f>
        <v>301.39999999999998</v>
      </c>
      <c r="I36" s="86">
        <f ca="1">264.1*OFFSET(I$113,MATCH($N$1,$C$113:$C$114,0)-1,0)</f>
        <v>264.10000000000002</v>
      </c>
      <c r="J36" s="86">
        <f ca="1">355.3*OFFSET(J$113,MATCH($N$1,$C$113:$C$114,0)-1,0)</f>
        <v>355.3</v>
      </c>
      <c r="K36" s="86">
        <f ca="1">355.6*OFFSET(K$113,MATCH($N$1,$C$113:$C$114,0)-1,0)</f>
        <v>355.6</v>
      </c>
      <c r="L36" s="86">
        <f ca="1">289.6*OFFSET(L$113,MATCH($N$1,$C$113:$C$114,0)-1,0)</f>
        <v>289.60000000000002</v>
      </c>
      <c r="M36" s="86">
        <f ca="1">232.7*OFFSET(M$113,MATCH($N$1,$C$113:$C$114,0)-1,0)</f>
        <v>232.7</v>
      </c>
      <c r="N36" s="86">
        <v>208</v>
      </c>
      <c r="O36" s="84">
        <f t="shared" ca="1" si="0"/>
        <v>-0.27348934683898013</v>
      </c>
      <c r="P36" s="84">
        <f t="shared" ca="1" si="1"/>
        <v>-0.41457922882071491</v>
      </c>
    </row>
    <row r="37" spans="1:16" s="78" customFormat="1" ht="18" customHeight="1">
      <c r="A37" s="192"/>
      <c r="B37" s="87" t="s">
        <v>218</v>
      </c>
      <c r="C37" s="88"/>
      <c r="D37" s="88">
        <f ca="1">145.1*OFFSET(D$113,MATCH($N$1,$C$113:$C$114,0)-1,0)</f>
        <v>145.1</v>
      </c>
      <c r="E37" s="88">
        <f ca="1">135.3*OFFSET(E$113,MATCH($N$1,$C$113:$C$114,0)-1,0)</f>
        <v>135.30000000000001</v>
      </c>
      <c r="F37" s="88">
        <f ca="1">99.1*OFFSET(F$113,MATCH($N$1,$C$113:$C$114,0)-1,0)</f>
        <v>99.1</v>
      </c>
      <c r="G37" s="88">
        <f ca="1">86.7*OFFSET(G$113,MATCH($N$1,$C$113:$C$114,0)-1,0)</f>
        <v>86.7</v>
      </c>
      <c r="H37" s="88">
        <f ca="1">151.7*OFFSET(H$113,MATCH($N$1,$C$113:$C$114,0)-1,0)</f>
        <v>151.69999999999999</v>
      </c>
      <c r="I37" s="88">
        <f ca="1">172.8*OFFSET(I$113,MATCH($N$1,$C$113:$C$114,0)-1,0)</f>
        <v>172.8</v>
      </c>
      <c r="J37" s="88">
        <f ca="1">137.7*OFFSET(J$113,MATCH($N$1,$C$113:$C$114,0)-1,0)</f>
        <v>137.69999999999999</v>
      </c>
      <c r="K37" s="88">
        <f ca="1">111.6*OFFSET(K$113,MATCH($N$1,$C$113:$C$114,0)-1,0)</f>
        <v>111.6</v>
      </c>
      <c r="L37" s="88">
        <f ca="1">76.5*OFFSET(L$113,MATCH($N$1,$C$113:$C$114,0)-1,0)</f>
        <v>76.5</v>
      </c>
      <c r="M37" s="88">
        <f ca="1">37.4*OFFSET(M$113,MATCH($N$1,$C$113:$C$114,0)-1,0)</f>
        <v>37.4</v>
      </c>
      <c r="N37" s="88">
        <v>43.800000000000004</v>
      </c>
      <c r="O37" s="84">
        <f t="shared" ca="1" si="0"/>
        <v>-0.6981392143349413</v>
      </c>
      <c r="P37" s="84">
        <f t="shared" ca="1" si="1"/>
        <v>-0.68191721132897598</v>
      </c>
    </row>
    <row r="38" spans="1:16" s="78" customFormat="1" ht="18" customHeight="1">
      <c r="A38" s="192"/>
      <c r="B38" s="87" t="s">
        <v>219</v>
      </c>
      <c r="C38" s="88"/>
      <c r="D38" s="88">
        <f ca="1">59.1*OFFSET(D$113,MATCH($N$1,$C$113:$C$114,0)-1,0)</f>
        <v>59.1</v>
      </c>
      <c r="E38" s="88">
        <f ca="1">55.2*OFFSET(E$113,MATCH($N$1,$C$113:$C$114,0)-1,0)</f>
        <v>55.2</v>
      </c>
      <c r="F38" s="88">
        <f ca="1">36.9*OFFSET(F$113,MATCH($N$1,$C$113:$C$114,0)-1,0)</f>
        <v>36.9</v>
      </c>
      <c r="G38" s="88">
        <f ca="1">38.2*OFFSET(G$113,MATCH($N$1,$C$113:$C$114,0)-1,0)</f>
        <v>38.200000000000003</v>
      </c>
      <c r="H38" s="88">
        <f ca="1">58*OFFSET(H$113,MATCH($N$1,$C$113:$C$114,0)-1,0)</f>
        <v>58</v>
      </c>
      <c r="I38" s="88">
        <f ca="1">101.5*OFFSET(I$113,MATCH($N$1,$C$113:$C$114,0)-1,0)</f>
        <v>101.5</v>
      </c>
      <c r="J38" s="88">
        <f ca="1">56.7*OFFSET(J$113,MATCH($N$1,$C$113:$C$114,0)-1,0)</f>
        <v>56.7</v>
      </c>
      <c r="K38" s="88">
        <f ca="1">23.4*OFFSET(K$113,MATCH($N$1,$C$113:$C$114,0)-1,0)</f>
        <v>23.4</v>
      </c>
      <c r="L38" s="88">
        <f ca="1">10.5*OFFSET(L$113,MATCH($N$1,$C$113:$C$114,0)-1,0)</f>
        <v>10.5</v>
      </c>
      <c r="M38" s="88">
        <f ca="1">-11.7*OFFSET(M$113,MATCH($N$1,$C$113:$C$114,0)-1,0)</f>
        <v>-11.7</v>
      </c>
      <c r="N38" s="88">
        <v>2.2000000000000002</v>
      </c>
      <c r="O38" s="84">
        <f t="shared" ca="1" si="0"/>
        <v>-0.96277495769881549</v>
      </c>
      <c r="P38" s="84">
        <f t="shared" ca="1" si="1"/>
        <v>-0.96119929453262787</v>
      </c>
    </row>
    <row r="39" spans="1:16" s="78" customFormat="1" ht="18" customHeight="1">
      <c r="A39" s="192"/>
      <c r="B39" s="85" t="s">
        <v>220</v>
      </c>
      <c r="C39" s="86"/>
      <c r="D39" s="86">
        <f ca="1">15.7*OFFSET(D$113,MATCH($N$1,$C$113:$C$114,0)-1,0)</f>
        <v>15.7</v>
      </c>
      <c r="E39" s="86">
        <f ca="1">13.6*OFFSET(E$113,MATCH($N$1,$C$113:$C$114,0)-1,0)</f>
        <v>13.6</v>
      </c>
      <c r="F39" s="86">
        <f ca="1">13.5*OFFSET(F$113,MATCH($N$1,$C$113:$C$114,0)-1,0)</f>
        <v>13.5</v>
      </c>
      <c r="G39" s="86">
        <f ca="1">21.3*OFFSET(G$113,MATCH($N$1,$C$113:$C$114,0)-1,0)</f>
        <v>21.3</v>
      </c>
      <c r="H39" s="86">
        <f ca="1">12.8*OFFSET(H$113,MATCH($N$1,$C$113:$C$114,0)-1,0)</f>
        <v>12.8</v>
      </c>
      <c r="I39" s="86">
        <f ca="1">17.1*OFFSET(I$113,MATCH($N$1,$C$113:$C$114,0)-1,0)</f>
        <v>17.100000000000001</v>
      </c>
      <c r="J39" s="86">
        <f ca="1">13.6*OFFSET(J$113,MATCH($N$1,$C$113:$C$114,0)-1,0)</f>
        <v>13.6</v>
      </c>
      <c r="K39" s="86">
        <f ca="1">16.7*OFFSET(K$113,MATCH($N$1,$C$113:$C$114,0)-1,0)</f>
        <v>16.7</v>
      </c>
      <c r="L39" s="86">
        <f ca="1">1.3*OFFSET(L$113,MATCH($N$1,$C$113:$C$114,0)-1,0)</f>
        <v>1.3</v>
      </c>
      <c r="M39" s="86">
        <f ca="1">6.5*OFFSET(M$113,MATCH($N$1,$C$113:$C$114,0)-1,0)</f>
        <v>6.5</v>
      </c>
      <c r="N39" s="86"/>
      <c r="O39" s="84" t="str">
        <f t="shared" si="0"/>
        <v/>
      </c>
      <c r="P39" s="84" t="str">
        <f t="shared" si="1"/>
        <v/>
      </c>
    </row>
    <row r="40" spans="1:16" s="78" customFormat="1" ht="18" customHeight="1">
      <c r="A40" s="192"/>
      <c r="B40" s="85" t="s">
        <v>221</v>
      </c>
      <c r="C40" s="86"/>
      <c r="D40" s="86">
        <f ca="1">3.6*OFFSET(D$113,MATCH($N$1,$C$113:$C$114,0)-1,0)</f>
        <v>3.6</v>
      </c>
      <c r="E40" s="86">
        <f ca="1">3.5*OFFSET(E$113,MATCH($N$1,$C$113:$C$114,0)-1,0)</f>
        <v>3.5</v>
      </c>
      <c r="F40" s="86">
        <f ca="1">2.2*OFFSET(F$113,MATCH($N$1,$C$113:$C$114,0)-1,0)</f>
        <v>2.2000000000000002</v>
      </c>
      <c r="G40" s="86">
        <f ca="1">3*OFFSET(G$113,MATCH($N$1,$C$113:$C$114,0)-1,0)</f>
        <v>3</v>
      </c>
      <c r="H40" s="86">
        <f ca="1">0.8*OFFSET(H$113,MATCH($N$1,$C$113:$C$114,0)-1,0)</f>
        <v>0.8</v>
      </c>
      <c r="I40" s="86">
        <f ca="1">1.1*OFFSET(I$113,MATCH($N$1,$C$113:$C$114,0)-1,0)</f>
        <v>1.1000000000000001</v>
      </c>
      <c r="J40" s="86">
        <f ca="1">4.6*OFFSET(J$113,MATCH($N$1,$C$113:$C$114,0)-1,0)</f>
        <v>4.5999999999999996</v>
      </c>
      <c r="K40" s="86">
        <f ca="1">5.2*OFFSET(K$113,MATCH($N$1,$C$113:$C$114,0)-1,0)</f>
        <v>5.2</v>
      </c>
      <c r="L40" s="86">
        <f ca="1">8*OFFSET(L$113,MATCH($N$1,$C$113:$C$114,0)-1,0)</f>
        <v>8</v>
      </c>
      <c r="M40" s="86">
        <f ca="1">1.1*OFFSET(M$113,MATCH($N$1,$C$113:$C$114,0)-1,0)</f>
        <v>1.1000000000000001</v>
      </c>
      <c r="N40" s="86"/>
      <c r="O40" s="84" t="str">
        <f t="shared" si="0"/>
        <v/>
      </c>
      <c r="P40" s="84" t="str">
        <f t="shared" si="1"/>
        <v/>
      </c>
    </row>
    <row r="41" spans="1:16" s="78" customFormat="1" ht="18" customHeight="1">
      <c r="A41" s="192"/>
      <c r="B41" s="85" t="s">
        <v>222</v>
      </c>
      <c r="C41" s="86"/>
      <c r="D41" s="86">
        <f ca="1">1.1*OFFSET(D$113,MATCH($N$1,$C$113:$C$114,0)-1,0)</f>
        <v>1.1000000000000001</v>
      </c>
      <c r="E41" s="86">
        <f ca="1">1.5*OFFSET(E$113,MATCH($N$1,$C$113:$C$114,0)-1,0)</f>
        <v>1.5</v>
      </c>
      <c r="F41" s="86">
        <f ca="1">0.9*OFFSET(F$113,MATCH($N$1,$C$113:$C$114,0)-1,0)</f>
        <v>0.9</v>
      </c>
      <c r="G41" s="86">
        <f ca="1">1.4*OFFSET(G$113,MATCH($N$1,$C$113:$C$114,0)-1,0)</f>
        <v>1.4</v>
      </c>
      <c r="H41" s="86">
        <f ca="1">0.1*OFFSET(H$113,MATCH($N$1,$C$113:$C$114,0)-1,0)</f>
        <v>0.1</v>
      </c>
      <c r="I41" s="86">
        <f ca="1">1.8*OFFSET(I$113,MATCH($N$1,$C$113:$C$114,0)-1,0)</f>
        <v>1.8</v>
      </c>
      <c r="J41" s="86">
        <f ca="1">1.9*OFFSET(J$113,MATCH($N$1,$C$113:$C$114,0)-1,0)</f>
        <v>1.9</v>
      </c>
      <c r="K41" s="86">
        <f ca="1">0.3*OFFSET(K$113,MATCH($N$1,$C$113:$C$114,0)-1,0)</f>
        <v>0.3</v>
      </c>
      <c r="L41" s="86">
        <f ca="1">1*OFFSET(L$113,MATCH($N$1,$C$113:$C$114,0)-1,0)</f>
        <v>1</v>
      </c>
      <c r="M41" s="86">
        <f ca="1">1*OFFSET(M$113,MATCH($N$1,$C$113:$C$114,0)-1,0)</f>
        <v>1</v>
      </c>
      <c r="N41" s="86"/>
      <c r="O41" s="84" t="str">
        <f t="shared" si="0"/>
        <v/>
      </c>
      <c r="P41" s="84" t="str">
        <f t="shared" si="1"/>
        <v/>
      </c>
    </row>
    <row r="42" spans="1:16" s="78" customFormat="1" ht="18" customHeight="1" thickBot="1">
      <c r="A42" s="193"/>
      <c r="B42" s="89" t="s">
        <v>223</v>
      </c>
      <c r="C42" s="90"/>
      <c r="D42" s="90">
        <f ca="1">38.7*OFFSET(D$113,MATCH($N$1,$C$113:$C$114,0)-1,0)</f>
        <v>38.700000000000003</v>
      </c>
      <c r="E42" s="90">
        <f ca="1">36.6*OFFSET(E$113,MATCH($N$1,$C$113:$C$114,0)-1,0)</f>
        <v>36.6</v>
      </c>
      <c r="F42" s="90">
        <f ca="1">20.2*OFFSET(F$113,MATCH($N$1,$C$113:$C$114,0)-1,0)</f>
        <v>20.2</v>
      </c>
      <c r="G42" s="90">
        <f ca="1">12.5*OFFSET(G$113,MATCH($N$1,$C$113:$C$114,0)-1,0)</f>
        <v>12.5</v>
      </c>
      <c r="H42" s="90">
        <f ca="1">44.4*OFFSET(H$113,MATCH($N$1,$C$113:$C$114,0)-1,0)</f>
        <v>44.4</v>
      </c>
      <c r="I42" s="90">
        <f ca="1">81.5*OFFSET(I$113,MATCH($N$1,$C$113:$C$114,0)-1,0)</f>
        <v>81.5</v>
      </c>
      <c r="J42" s="90">
        <f ca="1">36.7*OFFSET(J$113,MATCH($N$1,$C$113:$C$114,0)-1,0)</f>
        <v>36.700000000000003</v>
      </c>
      <c r="K42" s="90">
        <f ca="1">1.1*OFFSET(K$113,MATCH($N$1,$C$113:$C$114,0)-1,0)</f>
        <v>1.1000000000000001</v>
      </c>
      <c r="L42" s="90">
        <f ca="1">0.2*OFFSET(L$113,MATCH($N$1,$C$113:$C$114,0)-1,0)</f>
        <v>0.2</v>
      </c>
      <c r="M42" s="90">
        <f ca="1">-20.2*OFFSET(M$113,MATCH($N$1,$C$113:$C$114,0)-1,0)</f>
        <v>-20.2</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157</v>
      </c>
      <c r="F47" s="99" t="s">
        <v>157</v>
      </c>
      <c r="G47" s="99" t="s">
        <v>157</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NSWOS demersal under 24m under 300kW</v>
      </c>
      <c r="C49" s="101"/>
      <c r="D49" s="101"/>
      <c r="E49" s="101"/>
      <c r="F49" s="101"/>
      <c r="G49" s="101"/>
      <c r="K49" s="101" t="str">
        <f>$B25&amp;CHAR(10)&amp;$A$1</f>
        <v>Operating profit per kW day at sea (£)
NSWOS demersal under 24m under 300kW</v>
      </c>
    </row>
    <row r="50" spans="1:11" s="78" customFormat="1">
      <c r="A50" s="101" t="str">
        <f>$B23&amp;CHAR(10)&amp;$A$1</f>
        <v>Fishing income per kW day at sea (£)
NSWOS demersal under 24m under 300kW</v>
      </c>
    </row>
    <row r="51" spans="1:11" s="78" customFormat="1">
      <c r="A51" s="101" t="str">
        <f>$B21&amp;CHAR(10)&amp;$A$1</f>
        <v>Average price per tonne landed (£)
NSWOS demersal under 24m under 300kW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NSWOS demersal under 24m under 300kW</v>
      </c>
      <c r="F63" s="101" t="str">
        <f>$B21&amp;CHAR(10)&amp;$A$1</f>
        <v>Average price per tonne landed (£)
NSWOS demersal under 24m under 300kW</v>
      </c>
      <c r="K63" s="101" t="str">
        <f>"Average annual operating profit per vessel (£'000)"&amp;CHAR(10)&amp;$A$1</f>
        <v>Average annual operating profit per vessel (£'000)
NSWOS demersal under 24m under 300kW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NSWOS demersal under 24m under 300kW</v>
      </c>
      <c r="F77" s="101" t="str">
        <f>"Top 5 landed species by value in "&amp;A78&amp;CHAR(10)&amp;A1</f>
        <v>Top 5 landed species by value in 2021
NSWOS demersal under 24m under 300kW</v>
      </c>
    </row>
    <row r="78" spans="1:11" s="101" customFormat="1">
      <c r="A78" s="101">
        <v>2021</v>
      </c>
      <c r="B78" s="101" t="s">
        <v>498</v>
      </c>
      <c r="C78" s="102">
        <v>0.25738742769534506</v>
      </c>
      <c r="D78" s="103">
        <v>12153634</v>
      </c>
      <c r="G78" s="101" t="s">
        <v>499</v>
      </c>
      <c r="H78" s="102">
        <v>0.30499489532206459</v>
      </c>
      <c r="I78" s="103">
        <v>12153634</v>
      </c>
      <c r="K78" s="101" t="s">
        <v>237</v>
      </c>
    </row>
    <row r="79" spans="1:11" s="101" customFormat="1">
      <c r="B79" s="101" t="s">
        <v>500</v>
      </c>
      <c r="C79" s="102">
        <v>0.12238857837543252</v>
      </c>
      <c r="D79" s="103">
        <v>1692097</v>
      </c>
      <c r="G79" s="101" t="s">
        <v>501</v>
      </c>
      <c r="H79" s="102">
        <v>0.14371659752799407</v>
      </c>
      <c r="I79" s="103">
        <v>553960</v>
      </c>
    </row>
    <row r="80" spans="1:11" s="101" customFormat="1">
      <c r="B80" s="101" t="s">
        <v>502</v>
      </c>
      <c r="C80" s="102">
        <v>9.9647442697259767E-2</v>
      </c>
      <c r="D80" s="103">
        <v>553960</v>
      </c>
      <c r="G80" s="101" t="s">
        <v>503</v>
      </c>
      <c r="H80" s="102">
        <v>0.12252389197833094</v>
      </c>
      <c r="I80" s="103">
        <v>3050596</v>
      </c>
    </row>
    <row r="81" spans="1:19" s="101" customFormat="1">
      <c r="B81" s="101" t="s">
        <v>504</v>
      </c>
      <c r="C81" s="102">
        <v>6.9064333340876902E-2</v>
      </c>
      <c r="D81" s="103">
        <v>11115023</v>
      </c>
      <c r="G81" s="101" t="s">
        <v>505</v>
      </c>
      <c r="H81" s="102">
        <v>7.0856491584882511E-2</v>
      </c>
      <c r="I81" s="103">
        <v>1692097</v>
      </c>
    </row>
    <row r="82" spans="1:19" s="101" customFormat="1">
      <c r="B82" s="101" t="s">
        <v>506</v>
      </c>
      <c r="C82" s="102">
        <v>6.7585118875918879E-2</v>
      </c>
      <c r="D82" s="103">
        <v>3050596</v>
      </c>
      <c r="G82" s="101" t="s">
        <v>507</v>
      </c>
      <c r="H82" s="102">
        <v>6.8195397095698329E-2</v>
      </c>
      <c r="I82" s="103">
        <v>3689192</v>
      </c>
    </row>
    <row r="83" spans="1:19" s="101" customFormat="1">
      <c r="B83" s="101" t="s">
        <v>508</v>
      </c>
      <c r="C83" s="102">
        <v>0.38392709901516686</v>
      </c>
      <c r="D83" s="103">
        <v>5920853</v>
      </c>
      <c r="G83" s="101" t="s">
        <v>509</v>
      </c>
      <c r="H83" s="102">
        <v>0.28971272649102964</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161</v>
      </c>
      <c r="D93" s="107">
        <v>7.1301246393641507E-2</v>
      </c>
      <c r="E93" s="107">
        <v>0.14885821576618885</v>
      </c>
      <c r="F93" s="107">
        <v>0.17859290264909811</v>
      </c>
      <c r="G93" s="107">
        <v>0.28925809700612887</v>
      </c>
      <c r="H93" s="107">
        <v>0.2422014697300332</v>
      </c>
      <c r="I93" s="107">
        <v>0.18801928809843649</v>
      </c>
      <c r="J93" s="107">
        <v>0.11662118107356652</v>
      </c>
      <c r="K93" s="107">
        <v>0.22051129792584342</v>
      </c>
      <c r="L93" s="107">
        <v>0.30499489532206459</v>
      </c>
      <c r="M93" s="107">
        <v>0.2857917615169025</v>
      </c>
      <c r="O93" s="101">
        <v>12153634</v>
      </c>
    </row>
    <row r="94" spans="1:19" s="101" customFormat="1" hidden="1">
      <c r="B94" s="101">
        <v>2</v>
      </c>
      <c r="C94" s="101" t="s">
        <v>168</v>
      </c>
      <c r="D94" s="107"/>
      <c r="E94" s="107"/>
      <c r="F94" s="107">
        <v>9.6503849964573757E-2</v>
      </c>
      <c r="G94" s="107">
        <v>9.7419057454107325E-2</v>
      </c>
      <c r="H94" s="107">
        <v>0.11162157770568339</v>
      </c>
      <c r="I94" s="107">
        <v>0.19057152569603539</v>
      </c>
      <c r="J94" s="107">
        <v>0.14241570601946191</v>
      </c>
      <c r="K94" s="107">
        <v>0.13970170260795708</v>
      </c>
      <c r="L94" s="107">
        <v>0.14371659752799407</v>
      </c>
      <c r="M94" s="107">
        <v>0.11766958156621515</v>
      </c>
      <c r="O94" s="101">
        <v>553960</v>
      </c>
    </row>
    <row r="95" spans="1:19" s="101" customFormat="1" hidden="1">
      <c r="B95" s="101">
        <v>3</v>
      </c>
      <c r="C95" s="101" t="s">
        <v>181</v>
      </c>
      <c r="D95" s="107"/>
      <c r="E95" s="107">
        <v>0.10670897823153228</v>
      </c>
      <c r="F95" s="107">
        <v>8.3155511487980824E-2</v>
      </c>
      <c r="G95" s="107">
        <v>0.15251806037839299</v>
      </c>
      <c r="H95" s="107">
        <v>0.26289899685531981</v>
      </c>
      <c r="I95" s="107">
        <v>0.2095454859916952</v>
      </c>
      <c r="J95" s="107">
        <v>0.24852680380419778</v>
      </c>
      <c r="K95" s="107">
        <v>0.18209225903581183</v>
      </c>
      <c r="L95" s="107">
        <v>0.12252389197833094</v>
      </c>
      <c r="M95" s="107">
        <v>0.19352281994086923</v>
      </c>
      <c r="O95" s="101">
        <v>3050596</v>
      </c>
    </row>
    <row r="96" spans="1:19" s="101" customFormat="1" hidden="1">
      <c r="B96" s="101">
        <v>4</v>
      </c>
      <c r="C96" s="101" t="s">
        <v>156</v>
      </c>
      <c r="D96" s="107">
        <v>0.30135345261119478</v>
      </c>
      <c r="E96" s="107">
        <v>0.11347803515808288</v>
      </c>
      <c r="F96" s="107">
        <v>0.14809808879881728</v>
      </c>
      <c r="G96" s="107"/>
      <c r="H96" s="107"/>
      <c r="I96" s="107">
        <v>7.5465663962938495E-2</v>
      </c>
      <c r="J96" s="107"/>
      <c r="K96" s="107">
        <v>0.11847919609627468</v>
      </c>
      <c r="L96" s="107">
        <v>7.0856491584882511E-2</v>
      </c>
      <c r="M96" s="107"/>
      <c r="O96" s="101">
        <v>1692097</v>
      </c>
    </row>
    <row r="97" spans="1:15" s="101" customFormat="1" hidden="1">
      <c r="B97" s="101">
        <v>5</v>
      </c>
      <c r="C97" s="101" t="s">
        <v>159</v>
      </c>
      <c r="D97" s="107">
        <v>0.11290038431559993</v>
      </c>
      <c r="E97" s="107">
        <v>9.3826731895711266E-2</v>
      </c>
      <c r="F97" s="107">
        <v>0.19297668254240927</v>
      </c>
      <c r="G97" s="107">
        <v>0.10490203538657013</v>
      </c>
      <c r="H97" s="107">
        <v>0.10240853599511011</v>
      </c>
      <c r="I97" s="107">
        <v>5.7283353349581914E-2</v>
      </c>
      <c r="J97" s="107">
        <v>0.13875379794776774</v>
      </c>
      <c r="K97" s="107"/>
      <c r="L97" s="107">
        <v>6.8195397095698329E-2</v>
      </c>
      <c r="M97" s="107">
        <v>5.3751140262121806E-2</v>
      </c>
      <c r="O97" s="101">
        <v>3689192</v>
      </c>
    </row>
    <row r="98" spans="1:15" s="101" customFormat="1" hidden="1">
      <c r="B98" s="101">
        <v>6</v>
      </c>
      <c r="C98" s="101" t="s">
        <v>321</v>
      </c>
      <c r="D98" s="107"/>
      <c r="E98" s="107">
        <v>0.11173925024695418</v>
      </c>
      <c r="F98" s="107"/>
      <c r="G98" s="107">
        <v>0.10309629009601988</v>
      </c>
      <c r="H98" s="107">
        <v>6.3110875559722654E-2</v>
      </c>
      <c r="I98" s="107"/>
      <c r="J98" s="107"/>
      <c r="K98" s="107">
        <v>7.1384950056998589E-2</v>
      </c>
      <c r="L98" s="107"/>
      <c r="M98" s="107">
        <v>7.6079401540259758E-2</v>
      </c>
      <c r="O98" s="101">
        <v>11115023</v>
      </c>
    </row>
    <row r="99" spans="1:15" s="101" customFormat="1" hidden="1">
      <c r="B99" s="101">
        <v>7</v>
      </c>
      <c r="C99" s="101" t="s">
        <v>181</v>
      </c>
      <c r="D99" s="107"/>
      <c r="E99" s="107"/>
      <c r="F99" s="107"/>
      <c r="G99" s="107"/>
      <c r="H99" s="107"/>
      <c r="I99" s="107"/>
      <c r="J99" s="107">
        <v>0.10848462319826255</v>
      </c>
      <c r="K99" s="107"/>
      <c r="L99" s="107"/>
      <c r="M99" s="107"/>
      <c r="O99" s="101">
        <v>2480382</v>
      </c>
    </row>
    <row r="100" spans="1:15" s="101" customFormat="1" hidden="1">
      <c r="B100" s="101">
        <v>8</v>
      </c>
      <c r="C100" s="101" t="s">
        <v>169</v>
      </c>
      <c r="D100" s="107">
        <v>8.6329339448131079E-2</v>
      </c>
      <c r="E100" s="107"/>
      <c r="F100" s="107"/>
      <c r="G100" s="107"/>
      <c r="H100" s="107"/>
      <c r="I100" s="107"/>
      <c r="J100" s="107"/>
      <c r="K100" s="107"/>
      <c r="L100" s="107"/>
      <c r="M100" s="107"/>
      <c r="O100" s="101">
        <v>7434864</v>
      </c>
    </row>
    <row r="101" spans="1:15" s="101" customFormat="1" hidden="1">
      <c r="B101" s="101">
        <v>9</v>
      </c>
      <c r="C101" s="101" t="s">
        <v>172</v>
      </c>
      <c r="D101" s="107">
        <v>5.3575441676922922E-2</v>
      </c>
      <c r="E101" s="107"/>
      <c r="F101" s="107"/>
      <c r="G101" s="107"/>
      <c r="H101" s="107"/>
      <c r="I101" s="107"/>
      <c r="J101" s="107"/>
      <c r="K101" s="107"/>
      <c r="L101" s="107"/>
      <c r="M101" s="107"/>
      <c r="O101" s="101">
        <v>8497745</v>
      </c>
    </row>
    <row r="102" spans="1:15" s="101" customFormat="1" hidden="1">
      <c r="B102" s="101">
        <v>10</v>
      </c>
      <c r="C102" s="101" t="s">
        <v>251</v>
      </c>
      <c r="D102" s="107">
        <v>0.37454013555450977</v>
      </c>
      <c r="E102" s="107">
        <v>0.42538878870153057</v>
      </c>
      <c r="F102" s="107">
        <v>0.30067296455712078</v>
      </c>
      <c r="G102" s="107">
        <v>0.25280645967878085</v>
      </c>
      <c r="H102" s="107">
        <v>0.21775854415413082</v>
      </c>
      <c r="I102" s="107">
        <v>0.27911468290131253</v>
      </c>
      <c r="J102" s="107">
        <v>0.24519788795674352</v>
      </c>
      <c r="K102" s="107">
        <v>0.26783059427711436</v>
      </c>
      <c r="L102" s="107">
        <v>0.28971272649102958</v>
      </c>
      <c r="M102" s="107">
        <v>0.27318529517363155</v>
      </c>
      <c r="O102" s="101">
        <v>5920853</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11</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t="s">
        <v>259</v>
      </c>
      <c r="D121" s="52" t="s">
        <v>259</v>
      </c>
      <c r="E121" s="52" t="s">
        <v>259</v>
      </c>
      <c r="F121" s="53">
        <v>10</v>
      </c>
    </row>
    <row r="122" spans="1:15" ht="18" customHeight="1">
      <c r="A122" s="186" t="s">
        <v>198</v>
      </c>
      <c r="B122" s="35" t="s">
        <v>199</v>
      </c>
      <c r="C122" s="54"/>
      <c r="D122" s="54"/>
      <c r="E122" s="54"/>
      <c r="F122" s="55">
        <v>15.955999374389648</v>
      </c>
    </row>
    <row r="123" spans="1:15" ht="18" customHeight="1">
      <c r="A123" s="187"/>
      <c r="B123" s="37" t="s">
        <v>190</v>
      </c>
      <c r="C123" s="56"/>
      <c r="D123" s="56"/>
      <c r="E123" s="56"/>
      <c r="F123" s="57">
        <v>240.69999694824219</v>
      </c>
    </row>
    <row r="124" spans="1:15" ht="18" customHeight="1">
      <c r="A124" s="187"/>
      <c r="B124" s="37" t="s">
        <v>191</v>
      </c>
      <c r="C124" s="56"/>
      <c r="D124" s="56"/>
      <c r="E124" s="56"/>
      <c r="F124" s="57">
        <v>64.099998474121094</v>
      </c>
    </row>
    <row r="125" spans="1:15" ht="18" customHeight="1">
      <c r="A125" s="187"/>
      <c r="B125" s="37" t="s">
        <v>192</v>
      </c>
      <c r="C125" s="56"/>
      <c r="D125" s="56"/>
      <c r="E125" s="56"/>
      <c r="F125" s="57">
        <v>202.35546875</v>
      </c>
    </row>
    <row r="126" spans="1:15" ht="18" customHeight="1">
      <c r="A126" s="187"/>
      <c r="B126" s="37" t="s">
        <v>193</v>
      </c>
      <c r="C126" s="33"/>
      <c r="D126" s="33"/>
      <c r="E126" s="33"/>
      <c r="F126" s="58">
        <v>89.270828247070313</v>
      </c>
    </row>
    <row r="127" spans="1:15" ht="18" customHeight="1">
      <c r="A127" s="187"/>
      <c r="B127" s="37" t="s">
        <v>200</v>
      </c>
      <c r="C127" s="33"/>
      <c r="D127" s="33"/>
      <c r="E127" s="33"/>
      <c r="F127" s="58">
        <f ca="1">209.112453125*OFFSET($L$113,MATCH($N$1,$C$113:$C$114,0)-1,0)</f>
        <v>209.112453125</v>
      </c>
    </row>
    <row r="128" spans="1:15" ht="18" customHeight="1">
      <c r="A128" s="187"/>
      <c r="B128" s="37" t="s">
        <v>195</v>
      </c>
      <c r="C128" s="56"/>
      <c r="D128" s="56"/>
      <c r="E128" s="56"/>
      <c r="F128" s="57">
        <v>93.5</v>
      </c>
    </row>
    <row r="129" spans="1:15" ht="18" customHeight="1">
      <c r="A129" s="187"/>
      <c r="B129" s="37" t="s">
        <v>201</v>
      </c>
      <c r="C129" s="56"/>
      <c r="D129" s="56"/>
      <c r="E129" s="56"/>
      <c r="F129" s="57">
        <v>29.799999237060547</v>
      </c>
    </row>
    <row r="130" spans="1:15" ht="18" customHeight="1">
      <c r="A130" s="187"/>
      <c r="B130" s="37" t="s">
        <v>202</v>
      </c>
      <c r="C130" s="59"/>
      <c r="D130" s="59"/>
      <c r="E130" s="59"/>
      <c r="F130" s="60">
        <v>0.95476824045181274</v>
      </c>
    </row>
    <row r="131" spans="1:15" ht="18" customHeight="1">
      <c r="A131" s="188"/>
      <c r="B131" s="39" t="s">
        <v>203</v>
      </c>
      <c r="C131" s="40"/>
      <c r="D131" s="40"/>
      <c r="E131" s="40"/>
      <c r="F131" s="61">
        <f ca="1">2342*OFFSET($L$113,MATCH($N$1,$C$113:$C$114,0)-1,0)</f>
        <v>2342</v>
      </c>
    </row>
    <row r="132" spans="1:15" ht="18" customHeight="1">
      <c r="A132" s="198" t="s">
        <v>204</v>
      </c>
      <c r="B132" s="35" t="s">
        <v>205</v>
      </c>
      <c r="C132" s="62"/>
      <c r="D132" s="62"/>
      <c r="E132" s="62"/>
      <c r="F132" s="63">
        <v>3.6391768715301489</v>
      </c>
    </row>
    <row r="133" spans="1:15" ht="18" customHeight="1">
      <c r="A133" s="199"/>
      <c r="B133" s="37" t="s">
        <v>206</v>
      </c>
      <c r="C133" s="59"/>
      <c r="D133" s="59"/>
      <c r="E133" s="59"/>
      <c r="F133" s="60">
        <f ca="1">8.52458992376837*OFFSET($L$113,MATCH($N$1,$C$113:$C$114,0)-1,0)</f>
        <v>8.5245899237683709</v>
      </c>
    </row>
    <row r="134" spans="1:15" ht="18" customHeight="1">
      <c r="A134" s="199"/>
      <c r="B134" s="37" t="s">
        <v>153</v>
      </c>
      <c r="C134" s="59"/>
      <c r="D134" s="59"/>
      <c r="E134" s="59"/>
      <c r="F134" s="60">
        <f ca="1">9.0014542642068*OFFSET($L$113,MATCH($N$1,$C$113:$C$114,0)-1,0)</f>
        <v>9.0014542642067994</v>
      </c>
    </row>
    <row r="135" spans="1:15" ht="18" customHeight="1">
      <c r="A135" s="200"/>
      <c r="B135" s="39" t="s">
        <v>154</v>
      </c>
      <c r="C135" s="64"/>
      <c r="D135" s="64"/>
      <c r="E135" s="64"/>
      <c r="F135" s="65">
        <f ca="1">-0.476864340438434*OFFSET($L$113,MATCH($N$1,$C$113:$C$114,0)-1,0)</f>
        <v>-0.47686434043843401</v>
      </c>
    </row>
    <row r="136" spans="1:15" ht="18" customHeight="1">
      <c r="A136" s="201" t="s">
        <v>260</v>
      </c>
      <c r="B136" s="37" t="s">
        <v>261</v>
      </c>
      <c r="C136" s="66"/>
      <c r="D136" s="66"/>
      <c r="E136" s="66"/>
      <c r="F136" s="67">
        <f ca="1">33.40051171875*OFFSET($L$113,MATCH($N$1,$C$113:$C$114,0)-1,0)</f>
        <v>33.400511718750003</v>
      </c>
    </row>
    <row r="137" spans="1:15" ht="18" customHeight="1">
      <c r="A137" s="202"/>
      <c r="B137" s="37" t="s">
        <v>262</v>
      </c>
      <c r="C137" s="31"/>
      <c r="D137" s="31"/>
      <c r="E137" s="31"/>
      <c r="F137" s="68">
        <v>70260</v>
      </c>
    </row>
    <row r="138" spans="1:15" ht="18" customHeight="1">
      <c r="A138" s="202"/>
      <c r="B138" s="37" t="s">
        <v>263</v>
      </c>
      <c r="C138" s="31"/>
      <c r="D138" s="31"/>
      <c r="E138" s="31"/>
      <c r="F138" s="68">
        <v>751.44384765625</v>
      </c>
    </row>
    <row r="139" spans="1:15" ht="18" customHeight="1">
      <c r="A139" s="202"/>
      <c r="B139" s="37" t="s">
        <v>264</v>
      </c>
      <c r="C139" s="31"/>
      <c r="D139" s="31"/>
      <c r="E139" s="31"/>
      <c r="F139" s="68">
        <f ca="1">357.224724264706*OFFSET($L$113,MATCH($N$1,$C$113:$C$114,0)-1,0)</f>
        <v>357.22472426470603</v>
      </c>
      <c r="I139" s="43"/>
      <c r="L139" s="69" t="str">
        <f>C120</f>
        <v>Most
profitable
quartile</v>
      </c>
      <c r="M139" s="69" t="str">
        <f>D120</f>
        <v>Middle
two quartiles</v>
      </c>
      <c r="N139" s="69" t="str">
        <f>E120</f>
        <v>Least
profitable
quartile</v>
      </c>
      <c r="O139" s="69"/>
    </row>
    <row r="140" spans="1:15" ht="18" customHeight="1">
      <c r="A140" s="202"/>
      <c r="B140" s="37" t="s">
        <v>265</v>
      </c>
      <c r="C140" s="31"/>
      <c r="D140" s="31"/>
      <c r="E140" s="31"/>
      <c r="F140" s="68">
        <f ca="1">374.148110582206*OFFSET($L$113,MATCH($N$1,$C$113:$C$114,0)-1,0)</f>
        <v>374.14811058220602</v>
      </c>
      <c r="I140" s="43"/>
      <c r="K140" s="69" t="s">
        <v>266</v>
      </c>
      <c r="L140" s="70">
        <f t="shared" ref="L140:M142" si="2">C141</f>
        <v>0</v>
      </c>
      <c r="M140" s="70">
        <f t="shared" si="2"/>
        <v>0</v>
      </c>
      <c r="N140" s="70">
        <f>E141</f>
        <v>0</v>
      </c>
      <c r="O140" s="70"/>
    </row>
    <row r="141" spans="1:15" ht="18" customHeight="1">
      <c r="A141" s="179" t="s">
        <v>267</v>
      </c>
      <c r="B141" s="35" t="s">
        <v>268</v>
      </c>
      <c r="C141" s="71"/>
      <c r="D141" s="71"/>
      <c r="E141" s="71"/>
      <c r="F141" s="72">
        <f ca="1">221.00396875*OFFSET($L$113,MATCH($N$1,$C$113:$C$114,0)-1,0)</f>
        <v>221.00396875000001</v>
      </c>
      <c r="I141" s="43"/>
      <c r="K141" s="69" t="s">
        <v>269</v>
      </c>
      <c r="L141" s="70">
        <f t="shared" si="2"/>
        <v>0</v>
      </c>
      <c r="M141" s="70">
        <f t="shared" si="2"/>
        <v>0</v>
      </c>
      <c r="N141" s="70">
        <f>E142</f>
        <v>0</v>
      </c>
      <c r="O141" s="70"/>
    </row>
    <row r="142" spans="1:15" ht="18" customHeight="1">
      <c r="A142" s="180"/>
      <c r="B142" s="37" t="s">
        <v>270</v>
      </c>
      <c r="C142" s="31"/>
      <c r="D142" s="31"/>
      <c r="E142" s="31"/>
      <c r="F142" s="68">
        <f ca="1">232.7016875*OFFSET($L$113,MATCH($N$1,$C$113:$C$114,0)-1,0)</f>
        <v>232.70168749999999</v>
      </c>
      <c r="I142" s="43"/>
      <c r="K142" s="69" t="s">
        <v>271</v>
      </c>
      <c r="L142" s="70">
        <f t="shared" si="2"/>
        <v>0</v>
      </c>
      <c r="M142" s="70">
        <f t="shared" si="2"/>
        <v>0</v>
      </c>
      <c r="N142" s="70">
        <f>E143</f>
        <v>0</v>
      </c>
      <c r="O142" s="70"/>
    </row>
    <row r="143" spans="1:15" ht="18" customHeight="1">
      <c r="A143" s="181"/>
      <c r="B143" s="39" t="s">
        <v>272</v>
      </c>
      <c r="C143" s="40"/>
      <c r="D143" s="40"/>
      <c r="E143" s="40"/>
      <c r="F143" s="61">
        <f ca="1">-11.697720703125*OFFSET($L$113,MATCH($N$1,$C$113:$C$114,0)-1,0)</f>
        <v>-11.697720703125</v>
      </c>
      <c r="I143" s="43"/>
      <c r="K143" s="69" t="s">
        <v>273</v>
      </c>
      <c r="L143" s="73" t="str">
        <f>IFERROR(L141/L$140,"")</f>
        <v/>
      </c>
      <c r="M143" s="73" t="str">
        <f t="shared" ref="M143:N144" si="3">IFERROR(M141/M$140,"")</f>
        <v/>
      </c>
      <c r="N143" s="73" t="str">
        <f t="shared" si="3"/>
        <v/>
      </c>
      <c r="O143" s="73"/>
    </row>
    <row r="144" spans="1:15" ht="18" customHeight="1">
      <c r="I144" s="43"/>
      <c r="K144" s="69" t="s">
        <v>274</v>
      </c>
      <c r="L144" s="73" t="str">
        <f>IFERROR(L142/L$140,"")</f>
        <v/>
      </c>
      <c r="M144" s="73" t="str">
        <f t="shared" si="3"/>
        <v/>
      </c>
      <c r="N144" s="73" t="str">
        <f t="shared" si="3"/>
        <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14</v>
      </c>
      <c r="B162" s="48"/>
      <c r="C162" s="74" t="s">
        <v>255</v>
      </c>
      <c r="D162" s="74" t="s">
        <v>276</v>
      </c>
      <c r="E162" s="74" t="s">
        <v>257</v>
      </c>
      <c r="F162" s="74" t="s">
        <v>277</v>
      </c>
      <c r="G162" s="75">
        <v>14</v>
      </c>
      <c r="H162" s="74"/>
      <c r="I162" s="74" t="s">
        <v>255</v>
      </c>
      <c r="J162" s="74" t="s">
        <v>276</v>
      </c>
      <c r="K162" s="74" t="s">
        <v>257</v>
      </c>
      <c r="L162" s="48" t="s">
        <v>277</v>
      </c>
      <c r="R162" s="21"/>
      <c r="S162" s="21"/>
    </row>
    <row r="163" spans="1:19" s="43" customFormat="1">
      <c r="A163" s="44">
        <v>1</v>
      </c>
      <c r="B163" s="48" t="s">
        <v>181</v>
      </c>
      <c r="C163" s="48">
        <v>0</v>
      </c>
      <c r="D163" s="48">
        <v>0</v>
      </c>
      <c r="E163" s="48">
        <v>0</v>
      </c>
      <c r="F163" s="44">
        <v>3050596</v>
      </c>
      <c r="G163" s="44">
        <v>1</v>
      </c>
      <c r="H163" s="48" t="s">
        <v>181</v>
      </c>
      <c r="I163" s="48">
        <v>0</v>
      </c>
      <c r="J163" s="48">
        <v>0</v>
      </c>
      <c r="K163" s="48">
        <v>0</v>
      </c>
      <c r="L163" s="44">
        <v>3050596</v>
      </c>
      <c r="R163" s="21"/>
      <c r="S163" s="21"/>
    </row>
    <row r="164" spans="1:19" s="43" customFormat="1">
      <c r="A164" s="44">
        <v>2</v>
      </c>
      <c r="B164" s="48" t="s">
        <v>159</v>
      </c>
      <c r="C164" s="48">
        <v>0</v>
      </c>
      <c r="D164" s="48">
        <v>0</v>
      </c>
      <c r="E164" s="48">
        <v>0</v>
      </c>
      <c r="F164" s="44">
        <v>3689192</v>
      </c>
      <c r="G164" s="44">
        <v>2</v>
      </c>
      <c r="H164" s="48" t="s">
        <v>159</v>
      </c>
      <c r="I164" s="48">
        <v>0</v>
      </c>
      <c r="J164" s="48">
        <v>0</v>
      </c>
      <c r="K164" s="48">
        <v>0</v>
      </c>
      <c r="L164" s="44">
        <v>3689192</v>
      </c>
      <c r="N164" s="43" t="s">
        <v>278</v>
      </c>
      <c r="R164" s="21"/>
      <c r="S164" s="21"/>
    </row>
    <row r="165" spans="1:19" s="43" customFormat="1">
      <c r="A165" s="44">
        <v>3</v>
      </c>
      <c r="B165" s="48" t="s">
        <v>161</v>
      </c>
      <c r="C165" s="48">
        <v>0</v>
      </c>
      <c r="D165" s="48">
        <v>0</v>
      </c>
      <c r="E165" s="48">
        <v>0</v>
      </c>
      <c r="F165" s="44">
        <v>12153634</v>
      </c>
      <c r="G165" s="44">
        <v>3</v>
      </c>
      <c r="H165" s="48" t="s">
        <v>161</v>
      </c>
      <c r="I165" s="48">
        <v>0</v>
      </c>
      <c r="J165" s="48">
        <v>0</v>
      </c>
      <c r="K165" s="48">
        <v>0</v>
      </c>
      <c r="L165" s="44">
        <v>12153634</v>
      </c>
      <c r="N165" s="43" t="s">
        <v>279</v>
      </c>
      <c r="R165" s="21"/>
      <c r="S165" s="21"/>
    </row>
    <row r="166" spans="1:19" s="43" customFormat="1">
      <c r="A166" s="44">
        <v>4</v>
      </c>
      <c r="B166" s="48" t="s">
        <v>156</v>
      </c>
      <c r="C166" s="48">
        <v>0</v>
      </c>
      <c r="D166" s="48">
        <v>0</v>
      </c>
      <c r="E166" s="48">
        <v>0</v>
      </c>
      <c r="F166" s="44">
        <v>1692097</v>
      </c>
      <c r="G166" s="44">
        <v>4</v>
      </c>
      <c r="H166" s="48" t="s">
        <v>168</v>
      </c>
      <c r="I166" s="48">
        <v>0</v>
      </c>
      <c r="J166" s="48">
        <v>0</v>
      </c>
      <c r="K166" s="48">
        <v>0</v>
      </c>
      <c r="L166" s="44">
        <v>553960</v>
      </c>
      <c r="R166" s="21"/>
      <c r="S166" s="21"/>
    </row>
    <row r="167" spans="1:19" s="43" customFormat="1">
      <c r="A167" s="44">
        <v>5</v>
      </c>
      <c r="B167" s="48" t="s">
        <v>168</v>
      </c>
      <c r="C167" s="48">
        <v>0</v>
      </c>
      <c r="D167" s="48">
        <v>0</v>
      </c>
      <c r="E167" s="48">
        <v>0</v>
      </c>
      <c r="F167" s="44">
        <v>553960</v>
      </c>
      <c r="G167" s="44">
        <v>5</v>
      </c>
      <c r="H167" s="48" t="s">
        <v>170</v>
      </c>
      <c r="I167" s="48">
        <v>0</v>
      </c>
      <c r="J167" s="48">
        <v>0</v>
      </c>
      <c r="K167" s="48">
        <v>0</v>
      </c>
      <c r="L167" s="44">
        <v>2480382</v>
      </c>
      <c r="R167" s="21"/>
      <c r="S167" s="21"/>
    </row>
    <row r="168" spans="1:19" s="43" customFormat="1">
      <c r="A168" s="44">
        <v>6</v>
      </c>
      <c r="B168" s="48" t="s">
        <v>170</v>
      </c>
      <c r="C168" s="48">
        <v>0</v>
      </c>
      <c r="D168" s="48">
        <v>0</v>
      </c>
      <c r="E168" s="48">
        <v>0</v>
      </c>
      <c r="F168" s="44">
        <v>2480382</v>
      </c>
      <c r="G168" s="44">
        <v>6</v>
      </c>
      <c r="H168" s="48" t="s">
        <v>175</v>
      </c>
      <c r="I168" s="48">
        <v>0</v>
      </c>
      <c r="J168" s="48">
        <v>0</v>
      </c>
      <c r="K168" s="48">
        <v>0</v>
      </c>
      <c r="L168" s="44">
        <v>8497745</v>
      </c>
      <c r="R168" s="21"/>
      <c r="S168" s="21"/>
    </row>
    <row r="169" spans="1:19" s="43" customFormat="1">
      <c r="A169" s="44">
        <v>7</v>
      </c>
      <c r="B169" s="48" t="s">
        <v>250</v>
      </c>
      <c r="C169" s="48">
        <v>0</v>
      </c>
      <c r="D169" s="48">
        <v>0</v>
      </c>
      <c r="E169" s="48">
        <v>0</v>
      </c>
      <c r="F169" s="44">
        <v>7434864</v>
      </c>
      <c r="G169" s="44">
        <v>7</v>
      </c>
      <c r="H169" s="48" t="s">
        <v>250</v>
      </c>
      <c r="I169" s="48">
        <v>0</v>
      </c>
      <c r="J169" s="48">
        <v>0</v>
      </c>
      <c r="K169" s="48">
        <v>0</v>
      </c>
      <c r="L169" s="44">
        <v>7434864</v>
      </c>
      <c r="R169" s="21"/>
      <c r="S169" s="21"/>
    </row>
    <row r="170" spans="1:19" s="43" customFormat="1">
      <c r="A170" s="44">
        <v>8</v>
      </c>
      <c r="B170" s="48" t="s">
        <v>175</v>
      </c>
      <c r="C170" s="48">
        <v>0</v>
      </c>
      <c r="D170" s="48">
        <v>0</v>
      </c>
      <c r="E170" s="48">
        <v>0</v>
      </c>
      <c r="F170" s="44">
        <v>8497745</v>
      </c>
      <c r="G170" s="44">
        <v>8</v>
      </c>
      <c r="H170" s="48" t="s">
        <v>177</v>
      </c>
      <c r="I170" s="48">
        <v>0</v>
      </c>
      <c r="J170" s="48">
        <v>0</v>
      </c>
      <c r="K170" s="48">
        <v>0</v>
      </c>
      <c r="L170" s="44">
        <v>14393110</v>
      </c>
      <c r="R170" s="21"/>
      <c r="S170" s="21"/>
    </row>
    <row r="171" spans="1:19" s="43" customFormat="1">
      <c r="A171" s="44">
        <v>9</v>
      </c>
      <c r="B171" s="48" t="s">
        <v>177</v>
      </c>
      <c r="C171" s="48">
        <v>0</v>
      </c>
      <c r="D171" s="48">
        <v>0</v>
      </c>
      <c r="E171" s="48">
        <v>0</v>
      </c>
      <c r="F171" s="44">
        <v>14393110</v>
      </c>
      <c r="G171" s="44">
        <v>9</v>
      </c>
      <c r="H171" s="48" t="s">
        <v>294</v>
      </c>
      <c r="I171" s="48">
        <v>0</v>
      </c>
      <c r="J171" s="48">
        <v>0</v>
      </c>
      <c r="K171" s="48">
        <v>0</v>
      </c>
      <c r="L171" s="44">
        <v>15057844</v>
      </c>
      <c r="R171" s="21"/>
      <c r="S171" s="21"/>
    </row>
    <row r="172" spans="1:19" s="43" customFormat="1">
      <c r="A172" s="44">
        <v>10</v>
      </c>
      <c r="B172" s="48" t="s">
        <v>293</v>
      </c>
      <c r="C172" s="48">
        <v>0</v>
      </c>
      <c r="D172" s="48">
        <v>0</v>
      </c>
      <c r="E172" s="48">
        <v>0</v>
      </c>
      <c r="F172" s="44">
        <v>2887140</v>
      </c>
      <c r="G172" s="44">
        <v>10</v>
      </c>
      <c r="H172" s="48" t="s">
        <v>321</v>
      </c>
      <c r="I172" s="48">
        <v>0</v>
      </c>
      <c r="J172" s="48">
        <v>0</v>
      </c>
      <c r="K172" s="48">
        <v>0</v>
      </c>
      <c r="L172" s="44">
        <v>10603512</v>
      </c>
      <c r="R172" s="21"/>
      <c r="S172" s="21"/>
    </row>
    <row r="173" spans="1:19" s="43" customFormat="1">
      <c r="A173" s="44">
        <v>11</v>
      </c>
      <c r="B173" s="48" t="s">
        <v>321</v>
      </c>
      <c r="C173" s="48">
        <v>0</v>
      </c>
      <c r="D173" s="48">
        <v>0</v>
      </c>
      <c r="E173" s="48">
        <v>0</v>
      </c>
      <c r="F173" s="44">
        <v>10603512</v>
      </c>
      <c r="G173" s="44">
        <v>11</v>
      </c>
      <c r="H173" s="48" t="s">
        <v>156</v>
      </c>
      <c r="I173" s="48">
        <v>0</v>
      </c>
      <c r="J173" s="48">
        <v>0</v>
      </c>
      <c r="K173" s="48">
        <v>0</v>
      </c>
      <c r="L173" s="44">
        <v>1692097</v>
      </c>
      <c r="R173" s="21"/>
      <c r="S173" s="21"/>
    </row>
    <row r="174" spans="1:19" s="43" customFormat="1">
      <c r="A174" s="44">
        <v>12</v>
      </c>
      <c r="B174" s="48" t="s">
        <v>172</v>
      </c>
      <c r="C174" s="48">
        <v>0</v>
      </c>
      <c r="D174" s="48">
        <v>0</v>
      </c>
      <c r="E174" s="48">
        <v>0</v>
      </c>
      <c r="F174" s="44">
        <v>11115023</v>
      </c>
      <c r="G174" s="44">
        <v>12</v>
      </c>
      <c r="H174" s="48" t="s">
        <v>172</v>
      </c>
      <c r="I174" s="48">
        <v>0</v>
      </c>
      <c r="J174" s="48">
        <v>0</v>
      </c>
      <c r="K174" s="48">
        <v>0</v>
      </c>
      <c r="L174" s="44">
        <v>11115023</v>
      </c>
      <c r="R174" s="21"/>
      <c r="S174" s="21"/>
    </row>
    <row r="175" spans="1:19" s="43" customFormat="1">
      <c r="A175" s="44">
        <v>13</v>
      </c>
      <c r="B175" s="48" t="s">
        <v>251</v>
      </c>
      <c r="C175" s="48">
        <v>0</v>
      </c>
      <c r="D175" s="48">
        <v>0</v>
      </c>
      <c r="E175" s="48">
        <v>0</v>
      </c>
      <c r="F175" s="44">
        <v>5920853</v>
      </c>
      <c r="G175" s="44">
        <v>13</v>
      </c>
      <c r="H175" s="48" t="s">
        <v>251</v>
      </c>
      <c r="I175" s="48">
        <v>0</v>
      </c>
      <c r="J175" s="48">
        <v>0</v>
      </c>
      <c r="K175" s="48">
        <v>0</v>
      </c>
      <c r="L175" s="44">
        <v>5920853</v>
      </c>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21F3FED3-4E2F-4793-A39E-A9217E0E4674}">
      <formula1>$C$113:$C$114</formula1>
    </dataValidation>
  </dataValidations>
  <hyperlinks>
    <hyperlink ref="O1:P1" location="Home_page" display="Back to home page" xr:uid="{2984B009-A806-40A3-9F3A-FC35361B4E8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87DC34BB-98BC-477B-A0C0-0736F93A3B48}">
          <x14:colorSeries rgb="FF323232"/>
          <x14:colorNegative rgb="FFD00000"/>
          <x14:colorAxis rgb="FF000000"/>
          <x14:colorMarkers rgb="FFD00000"/>
          <x14:colorFirst rgb="FFD00000"/>
          <x14:colorLast rgb="FFD00000"/>
          <x14:colorHigh rgb="FFD00000"/>
          <x14:colorLow rgb="FFD00000"/>
          <x14:sparklines>
            <x14:sparkline>
              <xm:f>'NSWOS demersal u24m u300kW'!D3:N3</xm:f>
              <xm:sqref>C3</xm:sqref>
            </x14:sparkline>
            <x14:sparkline>
              <xm:f>'NSWOS demersal u24m u300kW'!D4:N4</xm:f>
              <xm:sqref>C4</xm:sqref>
            </x14:sparkline>
            <x14:sparkline>
              <xm:f>'NSWOS demersal u24m u300kW'!D5:N5</xm:f>
              <xm:sqref>C5</xm:sqref>
            </x14:sparkline>
            <x14:sparkline>
              <xm:f>'NSWOS demersal u24m u300kW'!D6:N6</xm:f>
              <xm:sqref>C6</xm:sqref>
            </x14:sparkline>
            <x14:sparkline>
              <xm:f>'NSWOS demersal u24m u300kW'!D7:N7</xm:f>
              <xm:sqref>C7</xm:sqref>
            </x14:sparkline>
            <x14:sparkline>
              <xm:f>'NSWOS demersal u24m u300kW'!D8:N8</xm:f>
              <xm:sqref>C8</xm:sqref>
            </x14:sparkline>
            <x14:sparkline>
              <xm:f>'NSWOS demersal u24m u300kW'!D9:N9</xm:f>
              <xm:sqref>C9</xm:sqref>
            </x14:sparkline>
            <x14:sparkline>
              <xm:f>'NSWOS demersal u24m u300kW'!D10:N10</xm:f>
              <xm:sqref>C10</xm:sqref>
            </x14:sparkline>
            <x14:sparkline>
              <xm:f>'NSWOS demersal u24m u300kW'!D11:N11</xm:f>
              <xm:sqref>C11</xm:sqref>
            </x14:sparkline>
            <x14:sparkline>
              <xm:f>'NSWOS demersal u24m u300kW'!D12:N12</xm:f>
              <xm:sqref>C12</xm:sqref>
            </x14:sparkline>
            <x14:sparkline>
              <xm:f>'NSWOS demersal u24m u300kW'!D13:N13</xm:f>
              <xm:sqref>C13</xm:sqref>
            </x14:sparkline>
            <x14:sparkline>
              <xm:f>'NSWOS demersal u24m u300kW'!D14:N14</xm:f>
              <xm:sqref>C14</xm:sqref>
            </x14:sparkline>
            <x14:sparkline>
              <xm:f>'NSWOS demersal u24m u300kW'!D15:N15</xm:f>
              <xm:sqref>C15</xm:sqref>
            </x14:sparkline>
            <x14:sparkline>
              <xm:f>'NSWOS demersal u24m u300kW'!D16:N16</xm:f>
              <xm:sqref>C16</xm:sqref>
            </x14:sparkline>
            <x14:sparkline>
              <xm:f>'NSWOS demersal u24m u300kW'!D17:N17</xm:f>
              <xm:sqref>C17</xm:sqref>
            </x14:sparkline>
            <x14:sparkline>
              <xm:f>'NSWOS demersal u24m u300kW'!D18:N18</xm:f>
              <xm:sqref>C18</xm:sqref>
            </x14:sparkline>
            <x14:sparkline>
              <xm:f>'NSWOS demersal u24m u300kW'!D19:N19</xm:f>
              <xm:sqref>C19</xm:sqref>
            </x14:sparkline>
            <x14:sparkline>
              <xm:f>'NSWOS demersal u24m u300kW'!D20:N20</xm:f>
              <xm:sqref>C20</xm:sqref>
            </x14:sparkline>
            <x14:sparkline>
              <xm:f>'NSWOS demersal u24m u300kW'!D21:N21</xm:f>
              <xm:sqref>C21</xm:sqref>
            </x14:sparkline>
            <x14:sparkline>
              <xm:f>'NSWOS demersal u24m u300kW'!D22:N22</xm:f>
              <xm:sqref>C22</xm:sqref>
            </x14:sparkline>
            <x14:sparkline>
              <xm:f>'NSWOS demersal u24m u300kW'!D23:N23</xm:f>
              <xm:sqref>C23</xm:sqref>
            </x14:sparkline>
            <x14:sparkline>
              <xm:f>'NSWOS demersal u24m u300kW'!D24:N24</xm:f>
              <xm:sqref>C24</xm:sqref>
            </x14:sparkline>
            <x14:sparkline>
              <xm:f>'NSWOS demersal u24m u300kW'!D25:N25</xm:f>
              <xm:sqref>C25</xm:sqref>
            </x14:sparkline>
            <x14:sparkline>
              <xm:f>'NSWOS demersal u24m u300kW'!D26:N26</xm:f>
              <xm:sqref>C26</xm:sqref>
            </x14:sparkline>
            <x14:sparkline>
              <xm:f>'NSWOS demersal u24m u300kW'!D27:N27</xm:f>
              <xm:sqref>C27</xm:sqref>
            </x14:sparkline>
            <x14:sparkline>
              <xm:f>'NSWOS demersal u24m u300kW'!D28:N28</xm:f>
              <xm:sqref>C28</xm:sqref>
            </x14:sparkline>
            <x14:sparkline>
              <xm:f>'NSWOS demersal u24m u300kW'!D29:N29</xm:f>
              <xm:sqref>C29</xm:sqref>
            </x14:sparkline>
            <x14:sparkline>
              <xm:f>'NSWOS demersal u24m u300kW'!D30:N30</xm:f>
              <xm:sqref>C30</xm:sqref>
            </x14:sparkline>
            <x14:sparkline>
              <xm:f>'NSWOS demersal u24m u300kW'!D31:N31</xm:f>
              <xm:sqref>C31</xm:sqref>
            </x14:sparkline>
            <x14:sparkline>
              <xm:f>'NSWOS demersal u24m u300kW'!D32:N32</xm:f>
              <xm:sqref>C32</xm:sqref>
            </x14:sparkline>
            <x14:sparkline>
              <xm:f>'NSWOS demersal u24m u300kW'!D33:N33</xm:f>
              <xm:sqref>C33</xm:sqref>
            </x14:sparkline>
            <x14:sparkline>
              <xm:f>'NSWOS demersal u24m u300kW'!D34:N34</xm:f>
              <xm:sqref>C34</xm:sqref>
            </x14:sparkline>
            <x14:sparkline>
              <xm:f>'NSWOS demersal u24m u300kW'!D35:N35</xm:f>
              <xm:sqref>C35</xm:sqref>
            </x14:sparkline>
            <x14:sparkline>
              <xm:f>'NSWOS demersal u24m u300kW'!D36:N36</xm:f>
              <xm:sqref>C36</xm:sqref>
            </x14:sparkline>
            <x14:sparkline>
              <xm:f>'NSWOS demersal u24m u300kW'!D37:N37</xm:f>
              <xm:sqref>C37</xm:sqref>
            </x14:sparkline>
            <x14:sparkline>
              <xm:f>'NSWOS demersal u24m u300kW'!D38:N38</xm:f>
              <xm:sqref>C38</xm:sqref>
            </x14:sparkline>
            <x14:sparkline>
              <xm:f>'NSWOS demersal u24m u300kW'!D39:N39</xm:f>
              <xm:sqref>C39</xm:sqref>
            </x14:sparkline>
            <x14:sparkline>
              <xm:f>'NSWOS demersal u24m u300kW'!D40:N40</xm:f>
              <xm:sqref>C40</xm:sqref>
            </x14:sparkline>
            <x14:sparkline>
              <xm:f>'NSWOS demersal u24m u300kW'!D41:N41</xm:f>
              <xm:sqref>C41</xm:sqref>
            </x14:sparkline>
            <x14:sparkline>
              <xm:f>'NSWOS demersal u24m u300kW'!D42:N42</xm:f>
              <xm:sqref>C42</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985D-8CF0-4997-BC56-989DEE95B79B}">
  <sheetPr codeName="Feuil27">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28</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171</v>
      </c>
      <c r="E3" s="28">
        <v>172</v>
      </c>
      <c r="F3" s="28">
        <v>166</v>
      </c>
      <c r="G3" s="28">
        <v>159</v>
      </c>
      <c r="H3" s="28">
        <v>175</v>
      </c>
      <c r="I3" s="28">
        <v>176</v>
      </c>
      <c r="J3" s="28">
        <v>187</v>
      </c>
      <c r="K3" s="28">
        <v>181</v>
      </c>
      <c r="L3" s="28">
        <v>178</v>
      </c>
      <c r="M3" s="28">
        <v>172</v>
      </c>
      <c r="N3" s="28">
        <v>162</v>
      </c>
      <c r="O3" s="29">
        <f t="shared" ref="O3:O42" si="0">IF(N3=0,"",IFERROR(IF(AND(N3&gt;0,D3&lt;0),"na",IF(AND(N3&lt;0,D3&lt;0),-1,1)*(N3-D3)/D3),""))</f>
        <v>-5.2631578947368418E-2</v>
      </c>
      <c r="P3" s="29">
        <f t="shared" ref="P3:P42" si="1">IF(N3=0,"",IFERROR(IF(AND(N3&gt;0,J3&lt;0),"na",IF(AND(N3&lt;0,J3&lt;0),-1,1)*(N3-J3)/J3),""))</f>
        <v>-0.13368983957219252</v>
      </c>
    </row>
    <row r="4" spans="1:17" ht="18" customHeight="1">
      <c r="A4" s="185"/>
      <c r="B4" s="30" t="s">
        <v>190</v>
      </c>
      <c r="C4" s="31"/>
      <c r="D4" s="31">
        <v>21943</v>
      </c>
      <c r="E4" s="31">
        <v>23146</v>
      </c>
      <c r="F4" s="31">
        <v>22261</v>
      </c>
      <c r="G4" s="31">
        <v>21429</v>
      </c>
      <c r="H4" s="31">
        <v>23507</v>
      </c>
      <c r="I4" s="31">
        <v>23490</v>
      </c>
      <c r="J4" s="31">
        <v>25662</v>
      </c>
      <c r="K4" s="31">
        <v>25172</v>
      </c>
      <c r="L4" s="31">
        <v>25500</v>
      </c>
      <c r="M4" s="31">
        <v>24514</v>
      </c>
      <c r="N4" s="31">
        <v>23529</v>
      </c>
      <c r="O4" s="29">
        <f t="shared" si="0"/>
        <v>7.2278175272296408E-2</v>
      </c>
      <c r="P4" s="29">
        <f t="shared" si="1"/>
        <v>-8.3119008650923545E-2</v>
      </c>
    </row>
    <row r="5" spans="1:17" ht="18" customHeight="1">
      <c r="A5" s="185"/>
      <c r="B5" s="30" t="s">
        <v>191</v>
      </c>
      <c r="C5" s="31"/>
      <c r="D5" s="31">
        <v>2130</v>
      </c>
      <c r="E5" s="31">
        <v>2159</v>
      </c>
      <c r="F5" s="31">
        <v>2711</v>
      </c>
      <c r="G5" s="31">
        <v>2601</v>
      </c>
      <c r="H5" s="31">
        <v>2829</v>
      </c>
      <c r="I5" s="31">
        <v>2205</v>
      </c>
      <c r="J5" s="31">
        <v>2370</v>
      </c>
      <c r="K5" s="31">
        <v>2257</v>
      </c>
      <c r="L5" s="31">
        <v>2276</v>
      </c>
      <c r="M5" s="31">
        <v>2157</v>
      </c>
      <c r="N5" s="31">
        <v>2098</v>
      </c>
      <c r="O5" s="29">
        <f t="shared" si="0"/>
        <v>-1.5023474178403756E-2</v>
      </c>
      <c r="P5" s="29">
        <f t="shared" si="1"/>
        <v>-0.11476793248945148</v>
      </c>
      <c r="Q5" s="32"/>
    </row>
    <row r="6" spans="1:17" ht="18" customHeight="1">
      <c r="A6" s="185"/>
      <c r="B6" s="30" t="s">
        <v>192</v>
      </c>
      <c r="C6" s="31"/>
      <c r="D6" s="31">
        <v>17428.03515625</v>
      </c>
      <c r="E6" s="31">
        <v>18101.677734375</v>
      </c>
      <c r="F6" s="31">
        <v>17523.87109375</v>
      </c>
      <c r="G6" s="31">
        <v>16935.609375</v>
      </c>
      <c r="H6" s="31">
        <v>18649.3125</v>
      </c>
      <c r="I6" s="31">
        <v>18903.58203125</v>
      </c>
      <c r="J6" s="31">
        <v>20368.35546875</v>
      </c>
      <c r="K6" s="31">
        <v>19808.94140625</v>
      </c>
      <c r="L6" s="31">
        <v>19874.314453125</v>
      </c>
      <c r="M6" s="31">
        <v>19107.66015625</v>
      </c>
      <c r="N6" s="31">
        <v>18251.58203125</v>
      </c>
      <c r="O6" s="29">
        <f t="shared" si="0"/>
        <v>4.7254143546104889E-2</v>
      </c>
      <c r="P6" s="29">
        <f t="shared" si="1"/>
        <v>-0.1039246119181121</v>
      </c>
    </row>
    <row r="7" spans="1:17" ht="18" customHeight="1">
      <c r="A7" s="185"/>
      <c r="B7" s="30" t="s">
        <v>193</v>
      </c>
      <c r="C7" s="31"/>
      <c r="D7" s="31">
        <v>8951.8828125</v>
      </c>
      <c r="E7" s="31">
        <v>10254.8134765625</v>
      </c>
      <c r="F7" s="31">
        <v>9743.056640625</v>
      </c>
      <c r="G7" s="31">
        <v>9816.04296875</v>
      </c>
      <c r="H7" s="31">
        <v>11697.775390625</v>
      </c>
      <c r="I7" s="31">
        <v>10831.3759765625</v>
      </c>
      <c r="J7" s="31">
        <v>10556.8076171875</v>
      </c>
      <c r="K7" s="31">
        <v>10113.853515625</v>
      </c>
      <c r="L7" s="31">
        <v>8667.4404296875</v>
      </c>
      <c r="M7" s="31">
        <v>8834.7353515625</v>
      </c>
      <c r="N7" s="31">
        <v>8960.46875</v>
      </c>
      <c r="O7" s="29">
        <f t="shared" si="0"/>
        <v>9.5912085533682247E-4</v>
      </c>
      <c r="P7" s="29">
        <f t="shared" si="1"/>
        <v>-0.15121416673242263</v>
      </c>
    </row>
    <row r="8" spans="1:17" ht="18" customHeight="1">
      <c r="A8" s="185"/>
      <c r="B8" s="30" t="s">
        <v>194</v>
      </c>
      <c r="C8" s="33"/>
      <c r="D8" s="33">
        <f ca="1">22.010854*OFFSET(D$113,MATCH($N$1,$C$113:$C$114,0)-1,0)</f>
        <v>22.010853999999998</v>
      </c>
      <c r="E8" s="33">
        <f ca="1">21.747104*OFFSET(E$113,MATCH($N$1,$C$113:$C$114,0)-1,0)</f>
        <v>21.747104</v>
      </c>
      <c r="F8" s="33">
        <f ca="1">22.943288*OFFSET(F$113,MATCH($N$1,$C$113:$C$114,0)-1,0)</f>
        <v>22.943287999999999</v>
      </c>
      <c r="G8" s="33">
        <f ca="1">23.725914*OFFSET(G$113,MATCH($N$1,$C$113:$C$114,0)-1,0)</f>
        <v>23.725914</v>
      </c>
      <c r="H8" s="33">
        <f ca="1">29.20381*OFFSET(H$113,MATCH($N$1,$C$113:$C$114,0)-1,0)</f>
        <v>29.203810000000001</v>
      </c>
      <c r="I8" s="33">
        <f ca="1">29.216048*OFFSET(I$113,MATCH($N$1,$C$113:$C$114,0)-1,0)</f>
        <v>29.216048000000001</v>
      </c>
      <c r="J8" s="33">
        <f ca="1">36.745404*OFFSET(J$113,MATCH($N$1,$C$113:$C$114,0)-1,0)</f>
        <v>36.745404000000001</v>
      </c>
      <c r="K8" s="33">
        <f ca="1">35.895932*OFFSET(K$113,MATCH($N$1,$C$113:$C$114,0)-1,0)</f>
        <v>35.895932000000002</v>
      </c>
      <c r="L8" s="33">
        <f ca="1">25.025436*OFFSET(L$113,MATCH($N$1,$C$113:$C$114,0)-1,0)</f>
        <v>25.025435999999999</v>
      </c>
      <c r="M8" s="33">
        <f ca="1">32.1532*OFFSET(M$113,MATCH($N$1,$C$113:$C$114,0)-1,0)</f>
        <v>32.153199999999998</v>
      </c>
      <c r="N8" s="33">
        <v>29.772933999999999</v>
      </c>
      <c r="O8" s="29">
        <f t="shared" ca="1" si="0"/>
        <v>0.35264783456380211</v>
      </c>
      <c r="P8" s="29">
        <f t="shared" ca="1" si="1"/>
        <v>-0.18975080529799049</v>
      </c>
    </row>
    <row r="9" spans="1:17" ht="18" customHeight="1">
      <c r="A9" s="185"/>
      <c r="B9" s="30" t="s">
        <v>195</v>
      </c>
      <c r="C9" s="31"/>
      <c r="D9" s="31">
        <v>26254</v>
      </c>
      <c r="E9" s="31">
        <v>26080</v>
      </c>
      <c r="F9" s="31">
        <v>26421</v>
      </c>
      <c r="G9" s="31">
        <v>26021</v>
      </c>
      <c r="H9" s="31">
        <v>28028</v>
      </c>
      <c r="I9" s="31">
        <v>26836</v>
      </c>
      <c r="J9" s="31">
        <v>27340</v>
      </c>
      <c r="K9" s="31">
        <v>28328</v>
      </c>
      <c r="L9" s="31">
        <v>24015</v>
      </c>
      <c r="M9" s="31">
        <v>25008</v>
      </c>
      <c r="N9" s="31">
        <v>21812</v>
      </c>
      <c r="O9" s="29">
        <f t="shared" si="0"/>
        <v>-0.1691932657880704</v>
      </c>
      <c r="P9" s="29">
        <f t="shared" si="1"/>
        <v>-0.2021945866861741</v>
      </c>
    </row>
    <row r="10" spans="1:17" ht="18" customHeight="1">
      <c r="A10" s="185"/>
      <c r="B10" s="30" t="s">
        <v>196</v>
      </c>
      <c r="C10" s="31"/>
      <c r="D10" s="31">
        <v>3753.1</v>
      </c>
      <c r="E10" s="31">
        <v>3756.65</v>
      </c>
      <c r="F10" s="31">
        <v>3832.625</v>
      </c>
      <c r="G10" s="31">
        <v>3814.0250000000001</v>
      </c>
      <c r="H10" s="31">
        <v>4210.875</v>
      </c>
      <c r="I10" s="31">
        <v>4063.5750000000003</v>
      </c>
      <c r="J10" s="31">
        <v>4176.8</v>
      </c>
      <c r="K10" s="31">
        <v>4359.8500000000004</v>
      </c>
      <c r="L10" s="31">
        <v>3690.4500000000003</v>
      </c>
      <c r="M10" s="31">
        <v>3836</v>
      </c>
      <c r="N10" s="31">
        <v>3379.9749999999999</v>
      </c>
      <c r="O10" s="29">
        <f t="shared" si="0"/>
        <v>-9.9417814606591881E-2</v>
      </c>
      <c r="P10" s="29">
        <f t="shared" si="1"/>
        <v>-0.19077403754070107</v>
      </c>
    </row>
    <row r="11" spans="1:17" ht="18" customHeight="1">
      <c r="A11" s="185"/>
      <c r="B11" s="30" t="s">
        <v>197</v>
      </c>
      <c r="C11" s="31"/>
      <c r="D11" s="31">
        <v>285.50460815429688</v>
      </c>
      <c r="E11" s="31">
        <v>324.25210571289063</v>
      </c>
      <c r="F11" s="31">
        <v>399.26052856445313</v>
      </c>
      <c r="G11" s="31">
        <v>385.4395751953125</v>
      </c>
      <c r="H11" s="31">
        <v>437.91375732421875</v>
      </c>
      <c r="I11" s="31">
        <v>378.1058349609375</v>
      </c>
      <c r="J11" s="31">
        <v>419.13851928710938</v>
      </c>
      <c r="K11" s="31">
        <v>370.11752319335938</v>
      </c>
      <c r="L11" s="31">
        <v>356.5767822265625</v>
      </c>
      <c r="M11" s="31">
        <v>360.55197143554688</v>
      </c>
      <c r="N11" s="31">
        <v>320.33175659179688</v>
      </c>
      <c r="O11" s="34">
        <f t="shared" si="0"/>
        <v>0.12198454050408239</v>
      </c>
      <c r="P11" s="34">
        <f t="shared" si="1"/>
        <v>-0.23573772905283846</v>
      </c>
    </row>
    <row r="12" spans="1:17" ht="18" customHeight="1">
      <c r="A12" s="186" t="s">
        <v>198</v>
      </c>
      <c r="B12" s="35" t="s">
        <v>199</v>
      </c>
      <c r="C12" s="36"/>
      <c r="D12" s="36">
        <v>11.109999656677246</v>
      </c>
      <c r="E12" s="36">
        <v>11.100348472595215</v>
      </c>
      <c r="F12" s="36">
        <v>11.111385345458984</v>
      </c>
      <c r="G12" s="36">
        <v>11.083395957946777</v>
      </c>
      <c r="H12" s="36">
        <v>11.113656997680664</v>
      </c>
      <c r="I12" s="36">
        <v>11.118806838989258</v>
      </c>
      <c r="J12" s="36">
        <v>11.164384841918945</v>
      </c>
      <c r="K12" s="36">
        <v>11.197624206542969</v>
      </c>
      <c r="L12" s="36">
        <v>11.225337028503418</v>
      </c>
      <c r="M12" s="36">
        <v>11.196685791015625</v>
      </c>
      <c r="N12" s="36">
        <v>11.21314811706543</v>
      </c>
      <c r="O12" s="29">
        <f t="shared" si="0"/>
        <v>9.2842901508273321E-3</v>
      </c>
      <c r="P12" s="29">
        <f t="shared" si="1"/>
        <v>4.3677529785065075E-3</v>
      </c>
    </row>
    <row r="13" spans="1:17" ht="18" customHeight="1">
      <c r="A13" s="187"/>
      <c r="B13" s="37" t="s">
        <v>190</v>
      </c>
      <c r="C13" s="31"/>
      <c r="D13" s="31">
        <v>128.32164001464844</v>
      </c>
      <c r="E13" s="31">
        <v>134.56976318359375</v>
      </c>
      <c r="F13" s="31">
        <v>134.1024169921875</v>
      </c>
      <c r="G13" s="31">
        <v>134.77359008789063</v>
      </c>
      <c r="H13" s="31">
        <v>134.32571411132813</v>
      </c>
      <c r="I13" s="31">
        <v>133.46591186523438</v>
      </c>
      <c r="J13" s="31">
        <v>137.22994995117188</v>
      </c>
      <c r="K13" s="31">
        <v>139.07182312011719</v>
      </c>
      <c r="L13" s="31">
        <v>143.2584228515625</v>
      </c>
      <c r="M13" s="31">
        <v>142.52325439453125</v>
      </c>
      <c r="N13" s="31">
        <v>145.24073791503906</v>
      </c>
      <c r="O13" s="29">
        <f t="shared" si="0"/>
        <v>0.131849140164194</v>
      </c>
      <c r="P13" s="29">
        <f t="shared" si="1"/>
        <v>5.8374924473247464E-2</v>
      </c>
    </row>
    <row r="14" spans="1:17" ht="18" customHeight="1">
      <c r="A14" s="187"/>
      <c r="B14" s="37" t="s">
        <v>191</v>
      </c>
      <c r="C14" s="31"/>
      <c r="D14" s="31">
        <v>12.456140518188477</v>
      </c>
      <c r="E14" s="31">
        <v>12.552325248718262</v>
      </c>
      <c r="F14" s="31">
        <v>16.331325531005859</v>
      </c>
      <c r="G14" s="31">
        <v>16.358489990234375</v>
      </c>
      <c r="H14" s="31">
        <v>16.165714263916016</v>
      </c>
      <c r="I14" s="31">
        <v>12.528409004211426</v>
      </c>
      <c r="J14" s="31">
        <v>12.673796653747559</v>
      </c>
      <c r="K14" s="31">
        <v>12.469613075256348</v>
      </c>
      <c r="L14" s="31">
        <v>12.786517143249512</v>
      </c>
      <c r="M14" s="31">
        <v>12.540698051452637</v>
      </c>
      <c r="N14" s="31">
        <v>12.950616836547852</v>
      </c>
      <c r="O14" s="29">
        <f t="shared" si="0"/>
        <v>3.9697394039296514E-2</v>
      </c>
      <c r="P14" s="29">
        <f t="shared" si="1"/>
        <v>2.1841930272602176E-2</v>
      </c>
    </row>
    <row r="15" spans="1:17" ht="18" customHeight="1">
      <c r="A15" s="187"/>
      <c r="B15" s="37" t="s">
        <v>192</v>
      </c>
      <c r="C15" s="31"/>
      <c r="D15" s="31">
        <v>101.9183349609375</v>
      </c>
      <c r="E15" s="31">
        <v>105.2423095703125</v>
      </c>
      <c r="F15" s="31">
        <v>105.56548309326172</v>
      </c>
      <c r="G15" s="31">
        <v>106.51326751708984</v>
      </c>
      <c r="H15" s="31">
        <v>106.5675048828125</v>
      </c>
      <c r="I15" s="31">
        <v>107.40671539306641</v>
      </c>
      <c r="J15" s="31">
        <v>108.92169189453125</v>
      </c>
      <c r="K15" s="31">
        <v>109.44166564941406</v>
      </c>
      <c r="L15" s="31">
        <v>111.65345001220703</v>
      </c>
      <c r="M15" s="31">
        <v>111.09104919433594</v>
      </c>
      <c r="N15" s="31">
        <v>112.66408538818359</v>
      </c>
      <c r="O15" s="29">
        <f t="shared" si="0"/>
        <v>0.10543490954168987</v>
      </c>
      <c r="P15" s="29">
        <f t="shared" si="1"/>
        <v>3.4358569248778281E-2</v>
      </c>
    </row>
    <row r="16" spans="1:17" ht="18" customHeight="1">
      <c r="A16" s="187"/>
      <c r="B16" s="37" t="s">
        <v>193</v>
      </c>
      <c r="C16" s="33"/>
      <c r="D16" s="33">
        <v>52.350193023681641</v>
      </c>
      <c r="E16" s="33">
        <v>59.621009826660156</v>
      </c>
      <c r="F16" s="33">
        <v>58.693111419677734</v>
      </c>
      <c r="G16" s="33">
        <v>61.736118316650391</v>
      </c>
      <c r="H16" s="33">
        <v>66.844436645507813</v>
      </c>
      <c r="I16" s="33">
        <v>61.541908264160156</v>
      </c>
      <c r="J16" s="33">
        <v>56.453514099121094</v>
      </c>
      <c r="K16" s="33">
        <v>55.877643585205078</v>
      </c>
      <c r="L16" s="33">
        <v>48.693485260009766</v>
      </c>
      <c r="M16" s="33">
        <v>51.364738464355469</v>
      </c>
      <c r="N16" s="33">
        <v>55.311534881591797</v>
      </c>
      <c r="O16" s="29">
        <f t="shared" si="0"/>
        <v>5.6567926245668948E-2</v>
      </c>
      <c r="P16" s="29">
        <f t="shared" si="1"/>
        <v>-2.0228664871494263E-2</v>
      </c>
    </row>
    <row r="17" spans="1:16" ht="18" customHeight="1">
      <c r="A17" s="187"/>
      <c r="B17" s="37" t="s">
        <v>200</v>
      </c>
      <c r="C17" s="33"/>
      <c r="D17" s="33">
        <f ca="1">128.7184453125*OFFSET(D$113,MATCH($N$1,$C$113:$C$114,0)-1,0)</f>
        <v>128.71844531249999</v>
      </c>
      <c r="E17" s="33">
        <f ca="1">126.43665625*OFFSET(E$113,MATCH($N$1,$C$113:$C$114,0)-1,0)</f>
        <v>126.43665625</v>
      </c>
      <c r="F17" s="33">
        <f ca="1">138.212578125*OFFSET(F$113,MATCH($N$1,$C$113:$C$114,0)-1,0)</f>
        <v>138.21257812499999</v>
      </c>
      <c r="G17" s="33">
        <f ca="1">149.21959375*OFFSET(G$113,MATCH($N$1,$C$113:$C$114,0)-1,0)</f>
        <v>149.21959375</v>
      </c>
      <c r="H17" s="33">
        <f ca="1">166.87890625*OFFSET(H$113,MATCH($N$1,$C$113:$C$114,0)-1,0)</f>
        <v>166.87890625</v>
      </c>
      <c r="I17" s="33">
        <f ca="1">166.00028125*OFFSET(I$113,MATCH($N$1,$C$113:$C$114,0)-1,0)</f>
        <v>166.00028125</v>
      </c>
      <c r="J17" s="33">
        <f ca="1">196.499484375*OFFSET(J$113,MATCH($N$1,$C$113:$C$114,0)-1,0)</f>
        <v>196.49948437500001</v>
      </c>
      <c r="K17" s="33">
        <f ca="1">198.320078125*OFFSET(K$113,MATCH($N$1,$C$113:$C$114,0)-1,0)</f>
        <v>198.32007812500001</v>
      </c>
      <c r="L17" s="33">
        <f ca="1">140.59234375*OFFSET(L$113,MATCH($N$1,$C$113:$C$114,0)-1,0)</f>
        <v>140.59234375</v>
      </c>
      <c r="M17" s="33">
        <f ca="1">186.937203125*OFFSET(M$113,MATCH($N$1,$C$113:$C$114,0)-1,0)</f>
        <v>186.937203125</v>
      </c>
      <c r="N17" s="33">
        <v>183.78354687500001</v>
      </c>
      <c r="O17" s="29">
        <f t="shared" ca="1" si="0"/>
        <v>0.42779495532916123</v>
      </c>
      <c r="P17" s="29">
        <f t="shared" ca="1" si="1"/>
        <v>-6.4712319935317869E-2</v>
      </c>
    </row>
    <row r="18" spans="1:16" ht="18" customHeight="1">
      <c r="A18" s="187"/>
      <c r="B18" s="37" t="s">
        <v>195</v>
      </c>
      <c r="C18" s="31"/>
      <c r="D18" s="31">
        <v>153.53216552734375</v>
      </c>
      <c r="E18" s="31">
        <v>151.62791442871094</v>
      </c>
      <c r="F18" s="31">
        <v>159.16264343261719</v>
      </c>
      <c r="G18" s="31">
        <v>163.65408325195313</v>
      </c>
      <c r="H18" s="31">
        <v>160.16000366210938</v>
      </c>
      <c r="I18" s="31">
        <v>152.47727966308594</v>
      </c>
      <c r="J18" s="31">
        <v>146.20320129394531</v>
      </c>
      <c r="K18" s="31">
        <v>156.50828552246094</v>
      </c>
      <c r="L18" s="31">
        <v>134.91572570800781</v>
      </c>
      <c r="M18" s="31">
        <v>145.39535522460938</v>
      </c>
      <c r="N18" s="31">
        <v>134.6419677734375</v>
      </c>
      <c r="O18" s="29">
        <f t="shared" si="0"/>
        <v>-0.12303739538241545</v>
      </c>
      <c r="P18" s="29">
        <f t="shared" si="1"/>
        <v>-7.9076473142771025E-2</v>
      </c>
    </row>
    <row r="19" spans="1:16" ht="18" customHeight="1">
      <c r="A19" s="187"/>
      <c r="B19" s="37" t="s">
        <v>201</v>
      </c>
      <c r="C19" s="31"/>
      <c r="D19" s="31">
        <v>27.795322418212891</v>
      </c>
      <c r="E19" s="31">
        <v>27.476743698120117</v>
      </c>
      <c r="F19" s="31">
        <v>27.343374252319336</v>
      </c>
      <c r="G19" s="31">
        <v>27.39622688293457</v>
      </c>
      <c r="H19" s="31">
        <v>27.45142936706543</v>
      </c>
      <c r="I19" s="31">
        <v>28.028409957885742</v>
      </c>
      <c r="J19" s="31">
        <v>27.540107727050781</v>
      </c>
      <c r="K19" s="31">
        <v>27.922651290893555</v>
      </c>
      <c r="L19" s="31">
        <v>27.696628570556641</v>
      </c>
      <c r="M19" s="31">
        <v>28.494186401367188</v>
      </c>
      <c r="N19" s="31">
        <v>28.240739822387695</v>
      </c>
      <c r="O19" s="29">
        <f t="shared" si="0"/>
        <v>1.6024905107160939E-2</v>
      </c>
      <c r="P19" s="29">
        <f t="shared" si="1"/>
        <v>2.5440426823339208E-2</v>
      </c>
    </row>
    <row r="20" spans="1:16" ht="18" customHeight="1">
      <c r="A20" s="187"/>
      <c r="B20" s="37" t="s">
        <v>202</v>
      </c>
      <c r="C20" s="38"/>
      <c r="D20" s="38">
        <v>0.34097215533256531</v>
      </c>
      <c r="E20" s="38">
        <v>0.39320603013038635</v>
      </c>
      <c r="F20" s="38">
        <v>0.36876186728477478</v>
      </c>
      <c r="G20" s="38">
        <v>0.37723544239997864</v>
      </c>
      <c r="H20" s="38">
        <v>0.41736036539077759</v>
      </c>
      <c r="I20" s="38">
        <v>0.4036136269569397</v>
      </c>
      <c r="J20" s="38">
        <v>0.38613048195838928</v>
      </c>
      <c r="K20" s="38">
        <v>0.35702675580978394</v>
      </c>
      <c r="L20" s="38">
        <v>0.36091777682304382</v>
      </c>
      <c r="M20" s="38">
        <v>0.35327634215354919</v>
      </c>
      <c r="N20" s="38">
        <v>0.41080456972122192</v>
      </c>
      <c r="O20" s="29">
        <f t="shared" si="0"/>
        <v>0.20480386241670073</v>
      </c>
      <c r="P20" s="29">
        <f t="shared" si="1"/>
        <v>6.3900906340493488E-2</v>
      </c>
    </row>
    <row r="21" spans="1:16" ht="18" customHeight="1">
      <c r="A21" s="188"/>
      <c r="B21" s="39" t="s">
        <v>203</v>
      </c>
      <c r="C21" s="40"/>
      <c r="D21" s="40">
        <f ca="1">2459*OFFSET(D$113,MATCH($N$1,$C$113:$C$114,0)-1,0)</f>
        <v>2459</v>
      </c>
      <c r="E21" s="40">
        <f ca="1">2121*OFFSET(E$113,MATCH($N$1,$C$113:$C$114,0)-1,0)</f>
        <v>2121</v>
      </c>
      <c r="F21" s="40">
        <f ca="1">2355*OFFSET(F$113,MATCH($N$1,$C$113:$C$114,0)-1,0)</f>
        <v>2355</v>
      </c>
      <c r="G21" s="40">
        <f ca="1">2417*OFFSET(G$113,MATCH($N$1,$C$113:$C$114,0)-1,0)</f>
        <v>2417</v>
      </c>
      <c r="H21" s="40">
        <f ca="1">2497*OFFSET(H$113,MATCH($N$1,$C$113:$C$114,0)-1,0)</f>
        <v>2497</v>
      </c>
      <c r="I21" s="40">
        <f ca="1">2697*OFFSET(I$113,MATCH($N$1,$C$113:$C$114,0)-1,0)</f>
        <v>2697</v>
      </c>
      <c r="J21" s="40">
        <f ca="1">3481*OFFSET(J$113,MATCH($N$1,$C$113:$C$114,0)-1,0)</f>
        <v>3481</v>
      </c>
      <c r="K21" s="40">
        <f ca="1">3549*OFFSET(K$113,MATCH($N$1,$C$113:$C$114,0)-1,0)</f>
        <v>3549</v>
      </c>
      <c r="L21" s="40">
        <f ca="1">2887*OFFSET(L$113,MATCH($N$1,$C$113:$C$114,0)-1,0)</f>
        <v>2887</v>
      </c>
      <c r="M21" s="40">
        <f ca="1">3639*OFFSET(M$113,MATCH($N$1,$C$113:$C$114,0)-1,0)</f>
        <v>3639</v>
      </c>
      <c r="N21" s="40">
        <v>3323</v>
      </c>
      <c r="O21" s="34">
        <f t="shared" ca="1" si="0"/>
        <v>0.35136234241561609</v>
      </c>
      <c r="P21" s="34">
        <f t="shared" ca="1" si="1"/>
        <v>-4.5389255960930769E-2</v>
      </c>
    </row>
    <row r="22" spans="1:16" ht="18" customHeight="1">
      <c r="A22" s="189" t="s">
        <v>204</v>
      </c>
      <c r="B22" s="35" t="s">
        <v>205</v>
      </c>
      <c r="C22" s="41"/>
      <c r="D22" s="41">
        <v>2.5862568585868888</v>
      </c>
      <c r="E22" s="41">
        <v>2.9470989899997764</v>
      </c>
      <c r="F22" s="41">
        <v>2.7317684115728165</v>
      </c>
      <c r="G22" s="41">
        <v>2.778745358943667</v>
      </c>
      <c r="H22" s="41">
        <v>3.057889747382696</v>
      </c>
      <c r="I22" s="41">
        <v>2.9165871354214827</v>
      </c>
      <c r="J22" s="41">
        <v>2.6896359114493915</v>
      </c>
      <c r="K22" s="41">
        <v>2.4262531711722555</v>
      </c>
      <c r="L22" s="41">
        <v>2.4296578736679599</v>
      </c>
      <c r="M22" s="41">
        <v>2.3829739622537049</v>
      </c>
      <c r="N22" s="41">
        <v>2.7110035022885022</v>
      </c>
      <c r="O22" s="29">
        <f t="shared" si="0"/>
        <v>4.82344370735759E-2</v>
      </c>
      <c r="P22" s="29">
        <f t="shared" si="1"/>
        <v>7.9444175875819905E-3</v>
      </c>
    </row>
    <row r="23" spans="1:16" ht="18" customHeight="1">
      <c r="A23" s="189"/>
      <c r="B23" s="37" t="s">
        <v>206</v>
      </c>
      <c r="C23" s="38"/>
      <c r="D23" s="38">
        <f ca="1">6.35907802413453*OFFSET(D$113,MATCH($N$1,$C$113:$C$114,0)-1,0)</f>
        <v>6.3590780241345302</v>
      </c>
      <c r="E23" s="38">
        <f ca="1">6.24983278573558*OFFSET(E$113,MATCH($N$1,$C$113:$C$114,0)-1,0)</f>
        <v>6.2498327857355802</v>
      </c>
      <c r="F23" s="38">
        <f ca="1">6.43286317374088*OFFSET(F$113,MATCH($N$1,$C$113:$C$114,0)-1,0)</f>
        <v>6.4328631737408797</v>
      </c>
      <c r="G23" s="38">
        <f ca="1">6.71638037671121*OFFSET(G$113,MATCH($N$1,$C$113:$C$114,0)-1,0)</f>
        <v>6.7163803767112098</v>
      </c>
      <c r="H23" s="38">
        <f ca="1">7.63410273292515*OFFSET(H$113,MATCH($N$1,$C$113:$C$114,0)-1,0)</f>
        <v>7.6341027329251503</v>
      </c>
      <c r="I23" s="38">
        <f ca="1">7.86706649868464*OFFSET(I$113,MATCH($N$1,$C$113:$C$114,0)-1,0)</f>
        <v>7.8670664986846397</v>
      </c>
      <c r="J23" s="38">
        <f ca="1">9.36189851402921*OFFSET(J$113,MATCH($N$1,$C$113:$C$114,0)-1,0)</f>
        <v>9.3618985140292104</v>
      </c>
      <c r="K23" s="38">
        <f ca="1">8.61122065257084*OFFSET(K$113,MATCH($N$1,$C$113:$C$114,0)-1,0)</f>
        <v>8.6112206525708395</v>
      </c>
      <c r="L23" s="38">
        <f ca="1">7.01513340328006*OFFSET(L$113,MATCH($N$1,$C$113:$C$114,0)-1,0)</f>
        <v>7.0151334032800596</v>
      </c>
      <c r="M23" s="38">
        <f ca="1">8.67261278732176*OFFSET(M$113,MATCH($N$1,$C$113:$C$114,0)-1,0)</f>
        <v>8.6726127873217607</v>
      </c>
      <c r="N23" s="38">
        <v>9.0078469221244912</v>
      </c>
      <c r="O23" s="29">
        <f t="shared" ca="1" si="0"/>
        <v>0.41653347984363792</v>
      </c>
      <c r="P23" s="29">
        <f t="shared" ca="1" si="1"/>
        <v>-3.781835397747129E-2</v>
      </c>
    </row>
    <row r="24" spans="1:16" ht="18" customHeight="1">
      <c r="A24" s="189"/>
      <c r="B24" s="37" t="s">
        <v>153</v>
      </c>
      <c r="C24" s="38"/>
      <c r="D24" s="38">
        <f ca="1">4.34559770978475*OFFSET(D$113,MATCH($N$1,$C$113:$C$114,0)-1,0)</f>
        <v>4.3455977097847498</v>
      </c>
      <c r="E24" s="38">
        <f ca="1">4.9722475610081*OFFSET(E$113,MATCH($N$1,$C$113:$C$114,0)-1,0)</f>
        <v>4.9722475610080998</v>
      </c>
      <c r="F24" s="38">
        <f ca="1">4.71272818239501*OFFSET(F$113,MATCH($N$1,$C$113:$C$114,0)-1,0)</f>
        <v>4.7127281823950096</v>
      </c>
      <c r="G24" s="38">
        <f ca="1">4.54051401689231*OFFSET(G$113,MATCH($N$1,$C$113:$C$114,0)-1,0)</f>
        <v>4.5405140168923097</v>
      </c>
      <c r="H24" s="38">
        <f ca="1">5.29845413038267*OFFSET(H$113,MATCH($N$1,$C$113:$C$114,0)-1,0)</f>
        <v>5.2984541303826704</v>
      </c>
      <c r="I24" s="38">
        <f ca="1">5.63178873733667*OFFSET(I$113,MATCH($N$1,$C$113:$C$114,0)-1,0)</f>
        <v>5.6317887373366702</v>
      </c>
      <c r="J24" s="38">
        <f ca="1">6.19052383052731*OFFSET(J$113,MATCH($N$1,$C$113:$C$114,0)-1,0)</f>
        <v>6.1905238305273098</v>
      </c>
      <c r="K24" s="38">
        <f ca="1">5.84031857313754*OFFSET(K$113,MATCH($N$1,$C$113:$C$114,0)-1,0)</f>
        <v>5.84031857313754</v>
      </c>
      <c r="L24" s="38">
        <f ca="1">5.27293224282444*OFFSET(L$113,MATCH($N$1,$C$113:$C$114,0)-1,0)</f>
        <v>5.2729322428244396</v>
      </c>
      <c r="M24" s="38">
        <f ca="1">6.11219068905029*OFFSET(M$113,MATCH($N$1,$C$113:$C$114,0)-1,0)</f>
        <v>6.1121906890502897</v>
      </c>
      <c r="N24" s="38">
        <v>6.5772237365517237</v>
      </c>
      <c r="O24" s="29">
        <f t="shared" ca="1" si="0"/>
        <v>0.5135371877019681</v>
      </c>
      <c r="P24" s="29">
        <f t="shared" ca="1" si="1"/>
        <v>6.2466427173332548E-2</v>
      </c>
    </row>
    <row r="25" spans="1:16" ht="18" customHeight="1">
      <c r="A25" s="189"/>
      <c r="B25" s="37" t="s">
        <v>154</v>
      </c>
      <c r="C25" s="38"/>
      <c r="D25" s="38">
        <f ca="1">2.07575815762299*OFFSET(D$113,MATCH($N$1,$C$113:$C$114,0)-1,0)</f>
        <v>2.0757581576229902</v>
      </c>
      <c r="E25" s="38">
        <f ca="1">1.40055810174351*OFFSET(E$113,MATCH($N$1,$C$113:$C$114,0)-1,0)</f>
        <v>1.40055810174351</v>
      </c>
      <c r="F25" s="38">
        <f ca="1">1.86359608454873*OFFSET(F$113,MATCH($N$1,$C$113:$C$114,0)-1,0)</f>
        <v>1.86359608454873</v>
      </c>
      <c r="G25" s="38">
        <f ca="1">2.27304780145718*OFFSET(G$113,MATCH($N$1,$C$113:$C$114,0)-1,0)</f>
        <v>2.2730478014571802</v>
      </c>
      <c r="H25" s="38">
        <f ca="1">2.59640049402496*OFFSET(H$113,MATCH($N$1,$C$113:$C$114,0)-1,0)</f>
        <v>2.5964004940249601</v>
      </c>
      <c r="I25" s="38">
        <f ca="1">3.022587880247*OFFSET(I$113,MATCH($N$1,$C$113:$C$114,0)-1,0)</f>
        <v>3.0225878802469999</v>
      </c>
      <c r="J25" s="38">
        <f ca="1">3.46297951614059*OFFSET(J$113,MATCH($N$1,$C$113:$C$114,0)-1,0)</f>
        <v>3.4629795161405901</v>
      </c>
      <c r="K25" s="38">
        <f ca="1">2.93857259817134*OFFSET(K$113,MATCH($N$1,$C$113:$C$114,0)-1,0)</f>
        <v>2.9385725981713402</v>
      </c>
      <c r="L25" s="38">
        <f ca="1">2.53592455888438*OFFSET(L$113,MATCH($N$1,$C$113:$C$114,0)-1,0)</f>
        <v>2.5359245588843802</v>
      </c>
      <c r="M25" s="38">
        <f ca="1">2.94714447663274*OFFSET(M$113,MATCH($N$1,$C$113:$C$114,0)-1,0)</f>
        <v>2.9471444766327402</v>
      </c>
      <c r="N25" s="38">
        <v>2.8190559301651694</v>
      </c>
      <c r="O25" s="29">
        <f t="shared" ca="1" si="0"/>
        <v>0.35808495792850487</v>
      </c>
      <c r="P25" s="29">
        <f t="shared" ca="1" si="1"/>
        <v>-0.18594495952810558</v>
      </c>
    </row>
    <row r="26" spans="1:16" ht="18" customHeight="1">
      <c r="A26" s="189"/>
      <c r="B26" s="37" t="s">
        <v>207</v>
      </c>
      <c r="C26" s="33"/>
      <c r="D26" s="33">
        <f ca="1">77.08*OFFSET(D$113,MATCH($N$1,$C$113:$C$114,0)-1,0)</f>
        <v>77.08</v>
      </c>
      <c r="E26" s="33">
        <f ca="1">67.05*OFFSET(E$113,MATCH($N$1,$C$113:$C$114,0)-1,0)</f>
        <v>67.05</v>
      </c>
      <c r="F26" s="33">
        <f ca="1">57.46*OFFSET(F$113,MATCH($N$1,$C$113:$C$114,0)-1,0)</f>
        <v>57.46</v>
      </c>
      <c r="G26" s="33">
        <f ca="1">61.55*OFFSET(G$113,MATCH($N$1,$C$113:$C$114,0)-1,0)</f>
        <v>61.55</v>
      </c>
      <c r="H26" s="33">
        <f ca="1">66.7*OFFSET(H$113,MATCH($N$1,$C$113:$C$114,0)-1,0)</f>
        <v>66.7</v>
      </c>
      <c r="I26" s="33">
        <f ca="1">77.27*OFFSET(I$113,MATCH($N$1,$C$113:$C$114,0)-1,0)</f>
        <v>77.27</v>
      </c>
      <c r="J26" s="33">
        <f ca="1">87.67*OFFSET(J$113,MATCH($N$1,$C$113:$C$114,0)-1,0)</f>
        <v>87.67</v>
      </c>
      <c r="K26" s="33">
        <f ca="1">96.98*OFFSET(K$113,MATCH($N$1,$C$113:$C$114,0)-1,0)</f>
        <v>96.98</v>
      </c>
      <c r="L26" s="33">
        <f ca="1">70.19*OFFSET(L$113,MATCH($N$1,$C$113:$C$114,0)-1,0)</f>
        <v>70.19</v>
      </c>
      <c r="M26" s="33">
        <f ca="1">89.16*OFFSET(M$113,MATCH($N$1,$C$113:$C$114,0)-1,0)</f>
        <v>89.16</v>
      </c>
      <c r="N26" s="33">
        <v>92.95</v>
      </c>
      <c r="O26" s="29">
        <f t="shared" ca="1" si="0"/>
        <v>0.20588998443175927</v>
      </c>
      <c r="P26" s="29">
        <f t="shared" ca="1" si="1"/>
        <v>6.0225846925972409E-2</v>
      </c>
    </row>
    <row r="27" spans="1:16" ht="18" customHeight="1">
      <c r="A27" s="190"/>
      <c r="B27" s="37" t="s">
        <v>208</v>
      </c>
      <c r="C27" s="33"/>
      <c r="D27" s="33">
        <f ca="1">25.16*OFFSET(D$113,MATCH($N$1,$C$113:$C$114,0)-1,0)</f>
        <v>25.16</v>
      </c>
      <c r="E27" s="33">
        <f ca="1">15.01*OFFSET(E$113,MATCH($N$1,$C$113:$C$114,0)-1,0)</f>
        <v>15.01</v>
      </c>
      <c r="F27" s="33">
        <f ca="1">16.63*OFFSET(F$113,MATCH($N$1,$C$113:$C$114,0)-1,0)</f>
        <v>16.63</v>
      </c>
      <c r="G27" s="33">
        <f ca="1">20.83*OFFSET(G$113,MATCH($N$1,$C$113:$C$114,0)-1,0)</f>
        <v>20.83</v>
      </c>
      <c r="H27" s="33">
        <f ca="1">22.7*OFFSET(H$113,MATCH($N$1,$C$113:$C$114,0)-1,0)</f>
        <v>22.7</v>
      </c>
      <c r="I27" s="33">
        <f ca="1">29.7*OFFSET(I$113,MATCH($N$1,$C$113:$C$114,0)-1,0)</f>
        <v>29.7</v>
      </c>
      <c r="J27" s="33">
        <f ca="1">32.44*OFFSET(J$113,MATCH($N$1,$C$113:$C$114,0)-1,0)</f>
        <v>32.44</v>
      </c>
      <c r="K27" s="33">
        <f ca="1">33.11*OFFSET(K$113,MATCH($N$1,$C$113:$C$114,0)-1,0)</f>
        <v>33.11</v>
      </c>
      <c r="L27" s="33">
        <f ca="1">25.36*OFFSET(L$113,MATCH($N$1,$C$113:$C$114,0)-1,0)</f>
        <v>25.36</v>
      </c>
      <c r="M27" s="33">
        <f ca="1">30.29*OFFSET(M$113,MATCH($N$1,$C$113:$C$114,0)-1,0)</f>
        <v>30.29</v>
      </c>
      <c r="N27" s="33">
        <v>29.08</v>
      </c>
      <c r="O27" s="34">
        <f t="shared" ca="1" si="0"/>
        <v>0.15580286168521454</v>
      </c>
      <c r="P27" s="34">
        <f t="shared" ca="1" si="1"/>
        <v>-0.1035758323057953</v>
      </c>
    </row>
    <row r="28" spans="1:16" s="78" customFormat="1" ht="18" customHeight="1">
      <c r="A28" s="191" t="s">
        <v>209</v>
      </c>
      <c r="B28" s="82" t="s">
        <v>200</v>
      </c>
      <c r="C28" s="83"/>
      <c r="D28" s="83">
        <f ca="1">128.7*OFFSET(D$113,MATCH($N$1,$C$113:$C$114,0)-1,0)</f>
        <v>128.69999999999999</v>
      </c>
      <c r="E28" s="83">
        <f ca="1">126.4*OFFSET(E$113,MATCH($N$1,$C$113:$C$114,0)-1,0)</f>
        <v>126.4</v>
      </c>
      <c r="F28" s="83">
        <f ca="1">138.2*OFFSET(F$113,MATCH($N$1,$C$113:$C$114,0)-1,0)</f>
        <v>138.19999999999999</v>
      </c>
      <c r="G28" s="83">
        <f ca="1">149.2*OFFSET(G$113,MATCH($N$1,$C$113:$C$114,0)-1,0)</f>
        <v>149.19999999999999</v>
      </c>
      <c r="H28" s="83">
        <f ca="1">166.9*OFFSET(H$113,MATCH($N$1,$C$113:$C$114,0)-1,0)</f>
        <v>166.9</v>
      </c>
      <c r="I28" s="83">
        <f ca="1">166*OFFSET(I$113,MATCH($N$1,$C$113:$C$114,0)-1,0)</f>
        <v>166</v>
      </c>
      <c r="J28" s="83">
        <f ca="1">196.5*OFFSET(J$113,MATCH($N$1,$C$113:$C$114,0)-1,0)</f>
        <v>196.5</v>
      </c>
      <c r="K28" s="83">
        <f ca="1">198.3*OFFSET(K$113,MATCH($N$1,$C$113:$C$114,0)-1,0)</f>
        <v>198.3</v>
      </c>
      <c r="L28" s="83">
        <f ca="1">140.6*OFFSET(L$113,MATCH($N$1,$C$113:$C$114,0)-1,0)</f>
        <v>140.6</v>
      </c>
      <c r="M28" s="83">
        <f ca="1">186.9*OFFSET(M$113,MATCH($N$1,$C$113:$C$114,0)-1,0)</f>
        <v>186.9</v>
      </c>
      <c r="N28" s="83">
        <v>183.8</v>
      </c>
      <c r="O28" s="84">
        <f t="shared" ca="1" si="0"/>
        <v>0.42812742812742832</v>
      </c>
      <c r="P28" s="84">
        <f t="shared" ca="1" si="1"/>
        <v>-6.4631043256997395E-2</v>
      </c>
    </row>
    <row r="29" spans="1:16" s="78" customFormat="1" ht="18" customHeight="1">
      <c r="A29" s="192"/>
      <c r="B29" s="85" t="s">
        <v>210</v>
      </c>
      <c r="C29" s="86"/>
      <c r="D29" s="86">
        <f ca="1">1.3*OFFSET(D$113,MATCH($N$1,$C$113:$C$114,0)-1,0)</f>
        <v>1.3</v>
      </c>
      <c r="E29" s="86">
        <f ca="1">2.5*OFFSET(E$113,MATCH($N$1,$C$113:$C$114,0)-1,0)</f>
        <v>2.5</v>
      </c>
      <c r="F29" s="86">
        <f ca="1">3.1*OFFSET(F$113,MATCH($N$1,$C$113:$C$114,0)-1,0)</f>
        <v>3.1</v>
      </c>
      <c r="G29" s="86">
        <f ca="1">2.2*OFFSET(G$113,MATCH($N$1,$C$113:$C$114,0)-1,0)</f>
        <v>2.2000000000000002</v>
      </c>
      <c r="H29" s="86">
        <f ca="1">5.7*OFFSET(H$113,MATCH($N$1,$C$113:$C$114,0)-1,0)</f>
        <v>5.7</v>
      </c>
      <c r="I29" s="86">
        <f ca="1">16.6*OFFSET(I$113,MATCH($N$1,$C$113:$C$114,0)-1,0)</f>
        <v>16.600000000000001</v>
      </c>
      <c r="J29" s="86">
        <f ca="1">6.1*OFFSET(J$113,MATCH($N$1,$C$113:$C$114,0)-1,0)</f>
        <v>6.1</v>
      </c>
      <c r="K29" s="86">
        <f ca="1">3.9*OFFSET(K$113,MATCH($N$1,$C$113:$C$114,0)-1,0)</f>
        <v>3.9</v>
      </c>
      <c r="L29" s="86">
        <f ca="1">15.9*OFFSET(L$113,MATCH($N$1,$C$113:$C$114,0)-1,0)</f>
        <v>15.9</v>
      </c>
      <c r="M29" s="86">
        <f ca="1">8.3*OFFSET(M$113,MATCH($N$1,$C$113:$C$114,0)-1,0)</f>
        <v>8.3000000000000007</v>
      </c>
      <c r="N29" s="86">
        <v>7.9</v>
      </c>
      <c r="O29" s="84">
        <f t="shared" ca="1" si="0"/>
        <v>5.0769230769230775</v>
      </c>
      <c r="P29" s="84">
        <f t="shared" ca="1" si="1"/>
        <v>0.29508196721311492</v>
      </c>
    </row>
    <row r="30" spans="1:16" s="78" customFormat="1" ht="18" customHeight="1">
      <c r="A30" s="192"/>
      <c r="B30" s="87" t="s">
        <v>211</v>
      </c>
      <c r="C30" s="88"/>
      <c r="D30" s="88">
        <f ca="1">130*OFFSET(D$113,MATCH($N$1,$C$113:$C$114,0)-1,0)</f>
        <v>130</v>
      </c>
      <c r="E30" s="88">
        <f ca="1">128.9*OFFSET(E$113,MATCH($N$1,$C$113:$C$114,0)-1,0)</f>
        <v>128.9</v>
      </c>
      <c r="F30" s="88">
        <f ca="1">141.3*OFFSET(F$113,MATCH($N$1,$C$113:$C$114,0)-1,0)</f>
        <v>141.30000000000001</v>
      </c>
      <c r="G30" s="88">
        <f ca="1">151.4*OFFSET(G$113,MATCH($N$1,$C$113:$C$114,0)-1,0)</f>
        <v>151.4</v>
      </c>
      <c r="H30" s="88">
        <f ca="1">172.6*OFFSET(H$113,MATCH($N$1,$C$113:$C$114,0)-1,0)</f>
        <v>172.6</v>
      </c>
      <c r="I30" s="88">
        <f ca="1">182.6*OFFSET(I$113,MATCH($N$1,$C$113:$C$114,0)-1,0)</f>
        <v>182.6</v>
      </c>
      <c r="J30" s="88">
        <f ca="1">202.6*OFFSET(J$113,MATCH($N$1,$C$113:$C$114,0)-1,0)</f>
        <v>202.6</v>
      </c>
      <c r="K30" s="88">
        <f ca="1">202.2*OFFSET(K$113,MATCH($N$1,$C$113:$C$114,0)-1,0)</f>
        <v>202.2</v>
      </c>
      <c r="L30" s="88">
        <f ca="1">156.5*OFFSET(L$113,MATCH($N$1,$C$113:$C$114,0)-1,0)</f>
        <v>156.5</v>
      </c>
      <c r="M30" s="88">
        <f ca="1">195.3*OFFSET(M$113,MATCH($N$1,$C$113:$C$114,0)-1,0)</f>
        <v>195.3</v>
      </c>
      <c r="N30" s="88">
        <v>191.70000000000002</v>
      </c>
      <c r="O30" s="84">
        <f t="shared" ca="1" si="0"/>
        <v>0.47461538461538477</v>
      </c>
      <c r="P30" s="84">
        <f t="shared" ca="1" si="1"/>
        <v>-5.3800592300098607E-2</v>
      </c>
    </row>
    <row r="31" spans="1:16" s="78" customFormat="1" ht="18" customHeight="1">
      <c r="A31" s="192"/>
      <c r="B31" s="85" t="s">
        <v>212</v>
      </c>
      <c r="C31" s="86"/>
      <c r="D31" s="86">
        <f ca="1">15.5*OFFSET(D$113,MATCH($N$1,$C$113:$C$114,0)-1,0)</f>
        <v>15.5</v>
      </c>
      <c r="E31" s="86">
        <f ca="1">14.7*OFFSET(E$113,MATCH($N$1,$C$113:$C$114,0)-1,0)</f>
        <v>14.7</v>
      </c>
      <c r="F31" s="86">
        <f ca="1">14.1*OFFSET(F$113,MATCH($N$1,$C$113:$C$114,0)-1,0)</f>
        <v>14.1</v>
      </c>
      <c r="G31" s="86">
        <f ca="1">10.2*OFFSET(G$113,MATCH($N$1,$C$113:$C$114,0)-1,0)</f>
        <v>10.199999999999999</v>
      </c>
      <c r="H31" s="86">
        <f ca="1">9.6*OFFSET(H$113,MATCH($N$1,$C$113:$C$114,0)-1,0)</f>
        <v>9.6</v>
      </c>
      <c r="I31" s="86">
        <f ca="1">11.1*OFFSET(I$113,MATCH($N$1,$C$113:$C$114,0)-1,0)</f>
        <v>11.1</v>
      </c>
      <c r="J31" s="86">
        <f ca="1">12.8*OFFSET(J$113,MATCH($N$1,$C$113:$C$114,0)-1,0)</f>
        <v>12.8</v>
      </c>
      <c r="K31" s="86">
        <f ca="1">13.3*OFFSET(K$113,MATCH($N$1,$C$113:$C$114,0)-1,0)</f>
        <v>13.3</v>
      </c>
      <c r="L31" s="86">
        <f ca="1">8*OFFSET(L$113,MATCH($N$1,$C$113:$C$114,0)-1,0)</f>
        <v>8</v>
      </c>
      <c r="M31" s="86">
        <f ca="1">10.6*OFFSET(M$113,MATCH($N$1,$C$113:$C$114,0)-1,0)</f>
        <v>10.6</v>
      </c>
      <c r="N31" s="86">
        <v>17.600000000000001</v>
      </c>
      <c r="O31" s="84">
        <f t="shared" ca="1" si="0"/>
        <v>0.13548387096774203</v>
      </c>
      <c r="P31" s="84">
        <f t="shared" ca="1" si="1"/>
        <v>0.37500000000000006</v>
      </c>
    </row>
    <row r="32" spans="1:16" s="78" customFormat="1" ht="18" customHeight="1">
      <c r="A32" s="192"/>
      <c r="B32" s="85" t="s">
        <v>213</v>
      </c>
      <c r="C32" s="86"/>
      <c r="D32" s="86">
        <f ca="1">31.6*OFFSET(D$113,MATCH($N$1,$C$113:$C$114,0)-1,0)</f>
        <v>31.6</v>
      </c>
      <c r="E32" s="86">
        <f ca="1">38.6*OFFSET(E$113,MATCH($N$1,$C$113:$C$114,0)-1,0)</f>
        <v>38.6</v>
      </c>
      <c r="F32" s="86">
        <f ca="1">41.9*OFFSET(F$113,MATCH($N$1,$C$113:$C$114,0)-1,0)</f>
        <v>41.9</v>
      </c>
      <c r="G32" s="86">
        <f ca="1">44.3*OFFSET(G$113,MATCH($N$1,$C$113:$C$114,0)-1,0)</f>
        <v>44.3</v>
      </c>
      <c r="H32" s="86">
        <f ca="1">44.1*OFFSET(H$113,MATCH($N$1,$C$113:$C$114,0)-1,0)</f>
        <v>44.1</v>
      </c>
      <c r="I32" s="86">
        <f ca="1">53.4*OFFSET(I$113,MATCH($N$1,$C$113:$C$114,0)-1,0)</f>
        <v>53.4</v>
      </c>
      <c r="J32" s="86">
        <f ca="1">50.9*OFFSET(J$113,MATCH($N$1,$C$113:$C$114,0)-1,0)</f>
        <v>50.9</v>
      </c>
      <c r="K32" s="86">
        <f ca="1">53.6*OFFSET(K$113,MATCH($N$1,$C$113:$C$114,0)-1,0)</f>
        <v>53.6</v>
      </c>
      <c r="L32" s="86">
        <f ca="1">39.1*OFFSET(L$113,MATCH($N$1,$C$113:$C$114,0)-1,0)</f>
        <v>39.1</v>
      </c>
      <c r="M32" s="86">
        <f ca="1">52.2*OFFSET(M$113,MATCH($N$1,$C$113:$C$114,0)-1,0)</f>
        <v>52.2</v>
      </c>
      <c r="N32" s="86">
        <v>48.800000000000004</v>
      </c>
      <c r="O32" s="84">
        <f t="shared" ca="1" si="0"/>
        <v>0.54430379746835444</v>
      </c>
      <c r="P32" s="84">
        <f t="shared" ca="1" si="1"/>
        <v>-4.125736738703329E-2</v>
      </c>
    </row>
    <row r="33" spans="1:16" s="78" customFormat="1" ht="18" customHeight="1">
      <c r="A33" s="192"/>
      <c r="B33" s="85" t="s">
        <v>214</v>
      </c>
      <c r="C33" s="86"/>
      <c r="D33" s="86">
        <f ca="1">20.5*OFFSET(D$113,MATCH($N$1,$C$113:$C$114,0)-1,0)</f>
        <v>20.5</v>
      </c>
      <c r="E33" s="86">
        <f ca="1">21.5*OFFSET(E$113,MATCH($N$1,$C$113:$C$114,0)-1,0)</f>
        <v>21.5</v>
      </c>
      <c r="F33" s="86">
        <f ca="1">20.2*OFFSET(F$113,MATCH($N$1,$C$113:$C$114,0)-1,0)</f>
        <v>20.2</v>
      </c>
      <c r="G33" s="86">
        <f ca="1">22.1*OFFSET(G$113,MATCH($N$1,$C$113:$C$114,0)-1,0)</f>
        <v>22.1</v>
      </c>
      <c r="H33" s="86">
        <f ca="1">35.6*OFFSET(H$113,MATCH($N$1,$C$113:$C$114,0)-1,0)</f>
        <v>35.6</v>
      </c>
      <c r="I33" s="86">
        <f ca="1">20.6*OFFSET(I$113,MATCH($N$1,$C$113:$C$114,0)-1,0)</f>
        <v>20.6</v>
      </c>
      <c r="J33" s="86">
        <f ca="1">24.2*OFFSET(J$113,MATCH($N$1,$C$113:$C$114,0)-1,0)</f>
        <v>24.2</v>
      </c>
      <c r="K33" s="86">
        <f ca="1">25.2*OFFSET(K$113,MATCH($N$1,$C$113:$C$114,0)-1,0)</f>
        <v>25.2</v>
      </c>
      <c r="L33" s="86">
        <f ca="1">19.5*OFFSET(L$113,MATCH($N$1,$C$113:$C$114,0)-1,0)</f>
        <v>19.5</v>
      </c>
      <c r="M33" s="86">
        <f ca="1">27.2*OFFSET(M$113,MATCH($N$1,$C$113:$C$114,0)-1,0)</f>
        <v>27.2</v>
      </c>
      <c r="N33" s="86">
        <v>26.7</v>
      </c>
      <c r="O33" s="84">
        <f t="shared" ca="1" si="0"/>
        <v>0.30243902439024389</v>
      </c>
      <c r="P33" s="84">
        <f t="shared" ca="1" si="1"/>
        <v>0.10330578512396695</v>
      </c>
    </row>
    <row r="34" spans="1:16" s="78" customFormat="1" ht="18" customHeight="1">
      <c r="A34" s="192"/>
      <c r="B34" s="85" t="s">
        <v>215</v>
      </c>
      <c r="C34" s="86"/>
      <c r="D34" s="86">
        <f ca="1">67.5*OFFSET(D$113,MATCH($N$1,$C$113:$C$114,0)-1,0)</f>
        <v>67.5</v>
      </c>
      <c r="E34" s="86">
        <f ca="1">74.9*OFFSET(E$113,MATCH($N$1,$C$113:$C$114,0)-1,0)</f>
        <v>74.900000000000006</v>
      </c>
      <c r="F34" s="86">
        <f ca="1">76.2*OFFSET(F$113,MATCH($N$1,$C$113:$C$114,0)-1,0)</f>
        <v>76.2</v>
      </c>
      <c r="G34" s="86">
        <f ca="1">76.6*OFFSET(G$113,MATCH($N$1,$C$113:$C$114,0)-1,0)</f>
        <v>76.599999999999994</v>
      </c>
      <c r="H34" s="86">
        <f ca="1">89.3*OFFSET(H$113,MATCH($N$1,$C$113:$C$114,0)-1,0)</f>
        <v>89.3</v>
      </c>
      <c r="I34" s="86">
        <f ca="1">85.1*OFFSET(I$113,MATCH($N$1,$C$113:$C$114,0)-1,0)</f>
        <v>85.1</v>
      </c>
      <c r="J34" s="86">
        <f ca="1">88*OFFSET(J$113,MATCH($N$1,$C$113:$C$114,0)-1,0)</f>
        <v>88</v>
      </c>
      <c r="K34" s="86">
        <f ca="1">92*OFFSET(K$113,MATCH($N$1,$C$113:$C$114,0)-1,0)</f>
        <v>92</v>
      </c>
      <c r="L34" s="86">
        <f ca="1">66.6*OFFSET(L$113,MATCH($N$1,$C$113:$C$114,0)-1,0)</f>
        <v>66.599999999999994</v>
      </c>
      <c r="M34" s="86">
        <f ca="1">90*OFFSET(M$113,MATCH($N$1,$C$113:$C$114,0)-1,0)</f>
        <v>90</v>
      </c>
      <c r="N34" s="86">
        <v>93.2</v>
      </c>
      <c r="O34" s="84">
        <f t="shared" ca="1" si="0"/>
        <v>0.38074074074074077</v>
      </c>
      <c r="P34" s="84">
        <f t="shared" ca="1" si="1"/>
        <v>5.9090909090909124E-2</v>
      </c>
    </row>
    <row r="35" spans="1:16" s="78" customFormat="1" ht="18" customHeight="1">
      <c r="A35" s="192"/>
      <c r="B35" s="85" t="s">
        <v>216</v>
      </c>
      <c r="C35" s="86"/>
      <c r="D35" s="86">
        <f ca="1">20.5*OFFSET(D$113,MATCH($N$1,$C$113:$C$114,0)-1,0)</f>
        <v>20.5</v>
      </c>
      <c r="E35" s="86">
        <f ca="1">25.7*OFFSET(E$113,MATCH($N$1,$C$113:$C$114,0)-1,0)</f>
        <v>25.7</v>
      </c>
      <c r="F35" s="86">
        <f ca="1">25.1*OFFSET(F$113,MATCH($N$1,$C$113:$C$114,0)-1,0)</f>
        <v>25.1</v>
      </c>
      <c r="G35" s="86">
        <f ca="1">24.3*OFFSET(G$113,MATCH($N$1,$C$113:$C$114,0)-1,0)</f>
        <v>24.3</v>
      </c>
      <c r="H35" s="86">
        <f ca="1">26.5*OFFSET(H$113,MATCH($N$1,$C$113:$C$114,0)-1,0)</f>
        <v>26.5</v>
      </c>
      <c r="I35" s="86">
        <f ca="1">33.8*OFFSET(I$113,MATCH($N$1,$C$113:$C$114,0)-1,0)</f>
        <v>33.799999999999997</v>
      </c>
      <c r="J35" s="86">
        <f ca="1">42*OFFSET(J$113,MATCH($N$1,$C$113:$C$114,0)-1,0)</f>
        <v>42</v>
      </c>
      <c r="K35" s="86">
        <f ca="1">42.5*OFFSET(K$113,MATCH($N$1,$C$113:$C$114,0)-1,0)</f>
        <v>42.5</v>
      </c>
      <c r="L35" s="86">
        <f ca="1">39.1*OFFSET(L$113,MATCH($N$1,$C$113:$C$114,0)-1,0)</f>
        <v>39.1</v>
      </c>
      <c r="M35" s="86">
        <f ca="1">41.7*OFFSET(M$113,MATCH($N$1,$C$113:$C$114,0)-1,0)</f>
        <v>41.7</v>
      </c>
      <c r="N35" s="86">
        <v>41</v>
      </c>
      <c r="O35" s="84">
        <f t="shared" ca="1" si="0"/>
        <v>1</v>
      </c>
      <c r="P35" s="84">
        <f t="shared" ca="1" si="1"/>
        <v>-2.3809523809523808E-2</v>
      </c>
    </row>
    <row r="36" spans="1:16" s="78" customFormat="1" ht="18" customHeight="1">
      <c r="A36" s="192"/>
      <c r="B36" s="85" t="s">
        <v>217</v>
      </c>
      <c r="C36" s="86"/>
      <c r="D36" s="86">
        <f ca="1">88*OFFSET(D$113,MATCH($N$1,$C$113:$C$114,0)-1,0)</f>
        <v>88</v>
      </c>
      <c r="E36" s="86">
        <f ca="1">100.6*OFFSET(E$113,MATCH($N$1,$C$113:$C$114,0)-1,0)</f>
        <v>100.6</v>
      </c>
      <c r="F36" s="86">
        <f ca="1">101.3*OFFSET(F$113,MATCH($N$1,$C$113:$C$114,0)-1,0)</f>
        <v>101.3</v>
      </c>
      <c r="G36" s="86">
        <f ca="1">100.9*OFFSET(G$113,MATCH($N$1,$C$113:$C$114,0)-1,0)</f>
        <v>100.9</v>
      </c>
      <c r="H36" s="86">
        <f ca="1">115.8*OFFSET(H$113,MATCH($N$1,$C$113:$C$114,0)-1,0)</f>
        <v>115.8</v>
      </c>
      <c r="I36" s="86">
        <f ca="1">118.8*OFFSET(I$113,MATCH($N$1,$C$113:$C$114,0)-1,0)</f>
        <v>118.8</v>
      </c>
      <c r="J36" s="86">
        <f ca="1">129.9*OFFSET(J$113,MATCH($N$1,$C$113:$C$114,0)-1,0)</f>
        <v>129.9</v>
      </c>
      <c r="K36" s="86">
        <f ca="1">134.5*OFFSET(K$113,MATCH($N$1,$C$113:$C$114,0)-1,0)</f>
        <v>134.5</v>
      </c>
      <c r="L36" s="86">
        <f ca="1">105.7*OFFSET(L$113,MATCH($N$1,$C$113:$C$114,0)-1,0)</f>
        <v>105.7</v>
      </c>
      <c r="M36" s="86">
        <f ca="1">131.7*OFFSET(M$113,MATCH($N$1,$C$113:$C$114,0)-1,0)</f>
        <v>131.69999999999999</v>
      </c>
      <c r="N36" s="86">
        <v>134.19999999999999</v>
      </c>
      <c r="O36" s="84">
        <f t="shared" ca="1" si="0"/>
        <v>0.52499999999999991</v>
      </c>
      <c r="P36" s="84">
        <f t="shared" ca="1" si="1"/>
        <v>3.3102386451116107E-2</v>
      </c>
    </row>
    <row r="37" spans="1:16" s="78" customFormat="1" ht="18" customHeight="1">
      <c r="A37" s="192"/>
      <c r="B37" s="87" t="s">
        <v>218</v>
      </c>
      <c r="C37" s="88"/>
      <c r="D37" s="88">
        <f ca="1">73.6*OFFSET(D$113,MATCH($N$1,$C$113:$C$114,0)-1,0)</f>
        <v>73.599999999999994</v>
      </c>
      <c r="E37" s="88">
        <f ca="1">66.9*OFFSET(E$113,MATCH($N$1,$C$113:$C$114,0)-1,0)</f>
        <v>66.900000000000006</v>
      </c>
      <c r="F37" s="88">
        <f ca="1">81.9*OFFSET(F$113,MATCH($N$1,$C$113:$C$114,0)-1,0)</f>
        <v>81.900000000000006</v>
      </c>
      <c r="G37" s="88">
        <f ca="1">94.8*OFFSET(G$113,MATCH($N$1,$C$113:$C$114,0)-1,0)</f>
        <v>94.8</v>
      </c>
      <c r="H37" s="88">
        <f ca="1">100.9*OFFSET(H$113,MATCH($N$1,$C$113:$C$114,0)-1,0)</f>
        <v>100.9</v>
      </c>
      <c r="I37" s="88">
        <f ca="1">117.2*OFFSET(I$113,MATCH($N$1,$C$113:$C$114,0)-1,0)</f>
        <v>117.2</v>
      </c>
      <c r="J37" s="88">
        <f ca="1">123.6*OFFSET(J$113,MATCH($N$1,$C$113:$C$114,0)-1,0)</f>
        <v>123.6</v>
      </c>
      <c r="K37" s="88">
        <f ca="1">121.3*OFFSET(K$113,MATCH($N$1,$C$113:$C$114,0)-1,0)</f>
        <v>121.3</v>
      </c>
      <c r="L37" s="88">
        <f ca="1">89.9*OFFSET(L$113,MATCH($N$1,$C$113:$C$114,0)-1,0)</f>
        <v>89.9</v>
      </c>
      <c r="M37" s="88">
        <f ca="1">115.7*OFFSET(M$113,MATCH($N$1,$C$113:$C$114,0)-1,0)</f>
        <v>115.7</v>
      </c>
      <c r="N37" s="88">
        <v>106.30000000000001</v>
      </c>
      <c r="O37" s="84">
        <f t="shared" ca="1" si="0"/>
        <v>0.44429347826086985</v>
      </c>
      <c r="P37" s="84">
        <f t="shared" ca="1" si="1"/>
        <v>-0.13996763754045294</v>
      </c>
    </row>
    <row r="38" spans="1:16" s="78" customFormat="1" ht="18" customHeight="1">
      <c r="A38" s="192"/>
      <c r="B38" s="87" t="s">
        <v>219</v>
      </c>
      <c r="C38" s="88"/>
      <c r="D38" s="88">
        <f ca="1">42*OFFSET(D$113,MATCH($N$1,$C$113:$C$114,0)-1,0)</f>
        <v>42</v>
      </c>
      <c r="E38" s="88">
        <f ca="1">28.3*OFFSET(E$113,MATCH($N$1,$C$113:$C$114,0)-1,0)</f>
        <v>28.3</v>
      </c>
      <c r="F38" s="88">
        <f ca="1">40*OFFSET(F$113,MATCH($N$1,$C$113:$C$114,0)-1,0)</f>
        <v>40</v>
      </c>
      <c r="G38" s="88">
        <f ca="1">50.5*OFFSET(G$113,MATCH($N$1,$C$113:$C$114,0)-1,0)</f>
        <v>50.5</v>
      </c>
      <c r="H38" s="88">
        <f ca="1">56.8*OFFSET(H$113,MATCH($N$1,$C$113:$C$114,0)-1,0)</f>
        <v>56.8</v>
      </c>
      <c r="I38" s="88">
        <f ca="1">63.8*OFFSET(I$113,MATCH($N$1,$C$113:$C$114,0)-1,0)</f>
        <v>63.8</v>
      </c>
      <c r="J38" s="88">
        <f ca="1">72.7*OFFSET(J$113,MATCH($N$1,$C$113:$C$114,0)-1,0)</f>
        <v>72.7</v>
      </c>
      <c r="K38" s="88">
        <f ca="1">67.7*OFFSET(K$113,MATCH($N$1,$C$113:$C$114,0)-1,0)</f>
        <v>67.7</v>
      </c>
      <c r="L38" s="88">
        <f ca="1">50.8*OFFSET(L$113,MATCH($N$1,$C$113:$C$114,0)-1,0)</f>
        <v>50.8</v>
      </c>
      <c r="M38" s="88">
        <f ca="1">63.5*OFFSET(M$113,MATCH($N$1,$C$113:$C$114,0)-1,0)</f>
        <v>63.5</v>
      </c>
      <c r="N38" s="88">
        <v>57.5</v>
      </c>
      <c r="O38" s="84">
        <f t="shared" ca="1" si="0"/>
        <v>0.36904761904761907</v>
      </c>
      <c r="P38" s="84">
        <f t="shared" ca="1" si="1"/>
        <v>-0.20907840440165065</v>
      </c>
    </row>
    <row r="39" spans="1:16" s="78" customFormat="1" ht="18" customHeight="1">
      <c r="A39" s="192"/>
      <c r="B39" s="85" t="s">
        <v>220</v>
      </c>
      <c r="C39" s="86"/>
      <c r="D39" s="86">
        <f ca="1">6.7*OFFSET(D$113,MATCH($N$1,$C$113:$C$114,0)-1,0)</f>
        <v>6.7</v>
      </c>
      <c r="E39" s="86">
        <f ca="1">9.6*OFFSET(E$113,MATCH($N$1,$C$113:$C$114,0)-1,0)</f>
        <v>9.6</v>
      </c>
      <c r="F39" s="86">
        <f ca="1">10.2*OFFSET(F$113,MATCH($N$1,$C$113:$C$114,0)-1,0)</f>
        <v>10.199999999999999</v>
      </c>
      <c r="G39" s="86">
        <f ca="1">9.5*OFFSET(G$113,MATCH($N$1,$C$113:$C$114,0)-1,0)</f>
        <v>9.5</v>
      </c>
      <c r="H39" s="86">
        <f ca="1">9.9*OFFSET(H$113,MATCH($N$1,$C$113:$C$114,0)-1,0)</f>
        <v>9.9</v>
      </c>
      <c r="I39" s="86">
        <f ca="1">13.3*OFFSET(I$113,MATCH($N$1,$C$113:$C$114,0)-1,0)</f>
        <v>13.3</v>
      </c>
      <c r="J39" s="86">
        <f ca="1">12.9*OFFSET(J$113,MATCH($N$1,$C$113:$C$114,0)-1,0)</f>
        <v>12.9</v>
      </c>
      <c r="K39" s="86">
        <f ca="1">18*OFFSET(K$113,MATCH($N$1,$C$113:$C$114,0)-1,0)</f>
        <v>18</v>
      </c>
      <c r="L39" s="86">
        <f ca="1">17.4*OFFSET(L$113,MATCH($N$1,$C$113:$C$114,0)-1,0)</f>
        <v>17.399999999999999</v>
      </c>
      <c r="M39" s="86">
        <f ca="1">13.9*OFFSET(M$113,MATCH($N$1,$C$113:$C$114,0)-1,0)</f>
        <v>13.9</v>
      </c>
      <c r="N39" s="86"/>
      <c r="O39" s="84" t="str">
        <f t="shared" si="0"/>
        <v/>
      </c>
      <c r="P39" s="84" t="str">
        <f t="shared" si="1"/>
        <v/>
      </c>
    </row>
    <row r="40" spans="1:16" s="78" customFormat="1" ht="18" customHeight="1">
      <c r="A40" s="192"/>
      <c r="B40" s="85" t="s">
        <v>221</v>
      </c>
      <c r="C40" s="86"/>
      <c r="D40" s="86">
        <f ca="1">1*OFFSET(D$113,MATCH($N$1,$C$113:$C$114,0)-1,0)</f>
        <v>1</v>
      </c>
      <c r="E40" s="86">
        <f ca="1">1.1*OFFSET(E$113,MATCH($N$1,$C$113:$C$114,0)-1,0)</f>
        <v>1.1000000000000001</v>
      </c>
      <c r="F40" s="86">
        <f ca="1">0.6*OFFSET(F$113,MATCH($N$1,$C$113:$C$114,0)-1,0)</f>
        <v>0.6</v>
      </c>
      <c r="G40" s="86">
        <f ca="1">1*OFFSET(G$113,MATCH($N$1,$C$113:$C$114,0)-1,0)</f>
        <v>1</v>
      </c>
      <c r="H40" s="86">
        <f ca="1">1.6*OFFSET(H$113,MATCH($N$1,$C$113:$C$114,0)-1,0)</f>
        <v>1.6</v>
      </c>
      <c r="I40" s="86">
        <f ca="1">2*OFFSET(I$113,MATCH($N$1,$C$113:$C$114,0)-1,0)</f>
        <v>2</v>
      </c>
      <c r="J40" s="86">
        <f ca="1">2.4*OFFSET(J$113,MATCH($N$1,$C$113:$C$114,0)-1,0)</f>
        <v>2.4</v>
      </c>
      <c r="K40" s="86">
        <f ca="1">2.3*OFFSET(K$113,MATCH($N$1,$C$113:$C$114,0)-1,0)</f>
        <v>2.2999999999999998</v>
      </c>
      <c r="L40" s="86">
        <f ca="1">1.3*OFFSET(L$113,MATCH($N$1,$C$113:$C$114,0)-1,0)</f>
        <v>1.3</v>
      </c>
      <c r="M40" s="86">
        <f ca="1">1.3*OFFSET(M$113,MATCH($N$1,$C$113:$C$114,0)-1,0)</f>
        <v>1.3</v>
      </c>
      <c r="N40" s="86"/>
      <c r="O40" s="84" t="str">
        <f t="shared" si="0"/>
        <v/>
      </c>
      <c r="P40" s="84" t="str">
        <f t="shared" si="1"/>
        <v/>
      </c>
    </row>
    <row r="41" spans="1:16" s="78" customFormat="1" ht="18" customHeight="1">
      <c r="A41" s="192"/>
      <c r="B41" s="85" t="s">
        <v>222</v>
      </c>
      <c r="C41" s="86"/>
      <c r="D41" s="86">
        <f ca="1">0.4*OFFSET(D$113,MATCH($N$1,$C$113:$C$114,0)-1,0)</f>
        <v>0.4</v>
      </c>
      <c r="E41" s="86">
        <f ca="1">0.5*OFFSET(E$113,MATCH($N$1,$C$113:$C$114,0)-1,0)</f>
        <v>0.5</v>
      </c>
      <c r="F41" s="86">
        <f ca="1">0.9*OFFSET(F$113,MATCH($N$1,$C$113:$C$114,0)-1,0)</f>
        <v>0.9</v>
      </c>
      <c r="G41" s="86">
        <f ca="1">0.6*OFFSET(G$113,MATCH($N$1,$C$113:$C$114,0)-1,0)</f>
        <v>0.6</v>
      </c>
      <c r="H41" s="86">
        <f ca="1">1.2*OFFSET(H$113,MATCH($N$1,$C$113:$C$114,0)-1,0)</f>
        <v>1.2</v>
      </c>
      <c r="I41" s="86">
        <f ca="1">1.8*OFFSET(I$113,MATCH($N$1,$C$113:$C$114,0)-1,0)</f>
        <v>1.8</v>
      </c>
      <c r="J41" s="86">
        <f ca="1">3.2*OFFSET(J$113,MATCH($N$1,$C$113:$C$114,0)-1,0)</f>
        <v>3.2</v>
      </c>
      <c r="K41" s="86">
        <f ca="1">1.8*OFFSET(K$113,MATCH($N$1,$C$113:$C$114,0)-1,0)</f>
        <v>1.8</v>
      </c>
      <c r="L41" s="86">
        <f ca="1">1.1*OFFSET(L$113,MATCH($N$1,$C$113:$C$114,0)-1,0)</f>
        <v>1.1000000000000001</v>
      </c>
      <c r="M41" s="86">
        <f ca="1">1.5*OFFSET(M$113,MATCH($N$1,$C$113:$C$114,0)-1,0)</f>
        <v>1.5</v>
      </c>
      <c r="N41" s="86"/>
      <c r="O41" s="84" t="str">
        <f t="shared" si="0"/>
        <v/>
      </c>
      <c r="P41" s="84" t="str">
        <f t="shared" si="1"/>
        <v/>
      </c>
    </row>
    <row r="42" spans="1:16" s="78" customFormat="1" ht="18" customHeight="1" thickBot="1">
      <c r="A42" s="193"/>
      <c r="B42" s="89" t="s">
        <v>223</v>
      </c>
      <c r="C42" s="90"/>
      <c r="D42" s="90">
        <f ca="1">33.9*OFFSET(D$113,MATCH($N$1,$C$113:$C$114,0)-1,0)</f>
        <v>33.9</v>
      </c>
      <c r="E42" s="90">
        <f ca="1">17.1*OFFSET(E$113,MATCH($N$1,$C$113:$C$114,0)-1,0)</f>
        <v>17.100000000000001</v>
      </c>
      <c r="F42" s="90">
        <f ca="1">28.4*OFFSET(F$113,MATCH($N$1,$C$113:$C$114,0)-1,0)</f>
        <v>28.4</v>
      </c>
      <c r="G42" s="90">
        <f ca="1">39.4*OFFSET(G$113,MATCH($N$1,$C$113:$C$114,0)-1,0)</f>
        <v>39.4</v>
      </c>
      <c r="H42" s="90">
        <f ca="1">44*OFFSET(H$113,MATCH($N$1,$C$113:$C$114,0)-1,0)</f>
        <v>44</v>
      </c>
      <c r="I42" s="90">
        <f ca="1">46.7*OFFSET(I$113,MATCH($N$1,$C$113:$C$114,0)-1,0)</f>
        <v>46.7</v>
      </c>
      <c r="J42" s="90">
        <f ca="1">54.2*OFFSET(J$113,MATCH($N$1,$C$113:$C$114,0)-1,0)</f>
        <v>54.2</v>
      </c>
      <c r="K42" s="90">
        <f ca="1">45.6*OFFSET(K$113,MATCH($N$1,$C$113:$C$114,0)-1,0)</f>
        <v>45.6</v>
      </c>
      <c r="L42" s="90">
        <f ca="1">31*OFFSET(L$113,MATCH($N$1,$C$113:$C$114,0)-1,0)</f>
        <v>31</v>
      </c>
      <c r="M42" s="90">
        <f ca="1">46.7*OFFSET(M$113,MATCH($N$1,$C$113:$C$114,0)-1,0)</f>
        <v>46.7</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Pots and traps 10-12m</v>
      </c>
      <c r="C49" s="101"/>
      <c r="D49" s="101"/>
      <c r="E49" s="101"/>
      <c r="F49" s="101"/>
      <c r="G49" s="101"/>
      <c r="K49" s="101" t="str">
        <f>$B25&amp;CHAR(10)&amp;$A$1</f>
        <v>Operating profit per kW day at sea (£)
Pots and traps 10-12m</v>
      </c>
    </row>
    <row r="50" spans="1:11" s="78" customFormat="1">
      <c r="A50" s="101" t="str">
        <f>$B23&amp;CHAR(10)&amp;$A$1</f>
        <v>Fishing income per kW day at sea (£)
Pots and traps 10-12m</v>
      </c>
    </row>
    <row r="51" spans="1:11" s="78" customFormat="1">
      <c r="A51" s="101" t="str">
        <f>$B21&amp;CHAR(10)&amp;$A$1</f>
        <v>Average price per tonne landed (£)
Pots and traps 10-12m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Pots and traps 10-12m</v>
      </c>
      <c r="F63" s="101" t="str">
        <f>$B21&amp;CHAR(10)&amp;$A$1</f>
        <v>Average price per tonne landed (£)
Pots and traps 10-12m</v>
      </c>
      <c r="K63" s="101" t="str">
        <f>"Average annual operating profit per vessel (£'000)"&amp;CHAR(10)&amp;$A$1</f>
        <v>Average annual operating profit per vessel (£'000)
Pots and traps 10-12m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Pots and traps 10-12m</v>
      </c>
      <c r="F77" s="101" t="str">
        <f>"Top 5 landed species by value in "&amp;A78&amp;CHAR(10)&amp;A1</f>
        <v>Top 5 landed species by value in 2021
Pots and traps 10-12m</v>
      </c>
    </row>
    <row r="78" spans="1:11" s="101" customFormat="1">
      <c r="A78" s="101">
        <v>2021</v>
      </c>
      <c r="B78" s="101" t="s">
        <v>510</v>
      </c>
      <c r="C78" s="102">
        <v>0.39098096790135795</v>
      </c>
      <c r="D78" s="103">
        <v>12153634</v>
      </c>
      <c r="G78" s="101" t="s">
        <v>511</v>
      </c>
      <c r="H78" s="102">
        <v>0.32299341858841857</v>
      </c>
      <c r="I78" s="103">
        <v>12153634</v>
      </c>
      <c r="K78" s="101" t="s">
        <v>237</v>
      </c>
    </row>
    <row r="79" spans="1:11" s="101" customFormat="1">
      <c r="B79" s="101" t="s">
        <v>512</v>
      </c>
      <c r="C79" s="102">
        <v>0.37957319347935159</v>
      </c>
      <c r="D79" s="103">
        <v>1692097</v>
      </c>
      <c r="G79" s="101" t="s">
        <v>513</v>
      </c>
      <c r="H79" s="102">
        <v>0.29255800162296425</v>
      </c>
      <c r="I79" s="103">
        <v>553960</v>
      </c>
    </row>
    <row r="80" spans="1:11" s="101" customFormat="1">
      <c r="B80" s="101" t="s">
        <v>514</v>
      </c>
      <c r="C80" s="102">
        <v>6.3283877923709556E-2</v>
      </c>
      <c r="D80" s="103">
        <v>553960</v>
      </c>
      <c r="G80" s="101" t="s">
        <v>515</v>
      </c>
      <c r="H80" s="102">
        <v>0.19023206009386626</v>
      </c>
      <c r="I80" s="103">
        <v>3050596</v>
      </c>
    </row>
    <row r="81" spans="1:19" s="101" customFormat="1">
      <c r="B81" s="101" t="s">
        <v>516</v>
      </c>
      <c r="C81" s="102">
        <v>6.2814069310269782E-2</v>
      </c>
      <c r="D81" s="103">
        <v>3050596</v>
      </c>
      <c r="G81" s="101" t="s">
        <v>517</v>
      </c>
      <c r="H81" s="102">
        <v>0.12507134133275774</v>
      </c>
      <c r="I81" s="103">
        <v>1692097</v>
      </c>
    </row>
    <row r="82" spans="1:19" s="101" customFormat="1">
      <c r="B82" s="101" t="s">
        <v>518</v>
      </c>
      <c r="C82" s="102">
        <v>3.9209212427110715E-2</v>
      </c>
      <c r="D82" s="103">
        <v>11115023</v>
      </c>
      <c r="G82" s="101" t="s">
        <v>519</v>
      </c>
      <c r="H82" s="102">
        <v>2.6774195456719843E-2</v>
      </c>
      <c r="I82" s="103">
        <v>3689192</v>
      </c>
    </row>
    <row r="83" spans="1:19" s="101" customFormat="1">
      <c r="B83" s="101" t="s">
        <v>520</v>
      </c>
      <c r="C83" s="102">
        <v>6.4138678958200357E-2</v>
      </c>
      <c r="D83" s="103">
        <v>5920853</v>
      </c>
      <c r="G83" s="101" t="s">
        <v>521</v>
      </c>
      <c r="H83" s="102">
        <v>4.2370982905273302E-2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174</v>
      </c>
      <c r="D93" s="107">
        <v>0.27963510888633242</v>
      </c>
      <c r="E93" s="107">
        <v>0.29534193075888704</v>
      </c>
      <c r="F93" s="107">
        <v>0.2392915715756935</v>
      </c>
      <c r="G93" s="107">
        <v>0.25989996492954337</v>
      </c>
      <c r="H93" s="107">
        <v>0.30053098210605544</v>
      </c>
      <c r="I93" s="107">
        <v>0.35610866888787479</v>
      </c>
      <c r="J93" s="107">
        <v>0.35678706780609304</v>
      </c>
      <c r="K93" s="107">
        <v>0.24735010353469858</v>
      </c>
      <c r="L93" s="107">
        <v>0.32299341858841857</v>
      </c>
      <c r="M93" s="107">
        <v>0.29898689192002376</v>
      </c>
      <c r="O93" s="101">
        <v>12153634</v>
      </c>
    </row>
    <row r="94" spans="1:19" s="101" customFormat="1" hidden="1">
      <c r="B94" s="101">
        <v>2</v>
      </c>
      <c r="C94" s="101" t="s">
        <v>166</v>
      </c>
      <c r="D94" s="107">
        <v>0.29055980856990427</v>
      </c>
      <c r="E94" s="107">
        <v>0.2786689503545382</v>
      </c>
      <c r="F94" s="107">
        <v>0.28195074395456021</v>
      </c>
      <c r="G94" s="107">
        <v>0.27523772552162368</v>
      </c>
      <c r="H94" s="107">
        <v>0.30737455570016348</v>
      </c>
      <c r="I94" s="107">
        <v>0.27653088037495915</v>
      </c>
      <c r="J94" s="107">
        <v>0.27482878762667445</v>
      </c>
      <c r="K94" s="107">
        <v>0.30947880242099013</v>
      </c>
      <c r="L94" s="107">
        <v>0.29255800162296425</v>
      </c>
      <c r="M94" s="107">
        <v>0.3115311376433374</v>
      </c>
      <c r="O94" s="101">
        <v>553960</v>
      </c>
    </row>
    <row r="95" spans="1:19" s="101" customFormat="1" hidden="1">
      <c r="B95" s="101">
        <v>3</v>
      </c>
      <c r="C95" s="101" t="s">
        <v>159</v>
      </c>
      <c r="D95" s="107">
        <v>0.22001879956252138</v>
      </c>
      <c r="E95" s="107">
        <v>0.20124406961519797</v>
      </c>
      <c r="F95" s="107">
        <v>0.22509449096632383</v>
      </c>
      <c r="G95" s="107">
        <v>0.18781298003645103</v>
      </c>
      <c r="H95" s="107">
        <v>0.13319120225942083</v>
      </c>
      <c r="I95" s="107">
        <v>0.15963989594755146</v>
      </c>
      <c r="J95" s="107">
        <v>0.17451126627235675</v>
      </c>
      <c r="K95" s="107">
        <v>0.17684623047690676</v>
      </c>
      <c r="L95" s="107">
        <v>0.19023206009386626</v>
      </c>
      <c r="M95" s="107">
        <v>0.18041493659979899</v>
      </c>
      <c r="O95" s="101">
        <v>3050596</v>
      </c>
    </row>
    <row r="96" spans="1:19" s="101" customFormat="1" hidden="1">
      <c r="B96" s="101">
        <v>4</v>
      </c>
      <c r="C96" s="101" t="s">
        <v>308</v>
      </c>
      <c r="D96" s="107">
        <v>0.12550659003101039</v>
      </c>
      <c r="E96" s="107">
        <v>0.14715178025286124</v>
      </c>
      <c r="F96" s="107">
        <v>0.18638991569836347</v>
      </c>
      <c r="G96" s="107">
        <v>0.21084098051803477</v>
      </c>
      <c r="H96" s="107">
        <v>0.19977110416799473</v>
      </c>
      <c r="I96" s="107">
        <v>0.15683679034065331</v>
      </c>
      <c r="J96" s="107">
        <v>0.12919020980270482</v>
      </c>
      <c r="K96" s="107">
        <v>0.19490830334702675</v>
      </c>
      <c r="L96" s="107">
        <v>0.12507134133275774</v>
      </c>
      <c r="M96" s="107">
        <v>0.13361491346469245</v>
      </c>
      <c r="O96" s="101">
        <v>1692097</v>
      </c>
    </row>
    <row r="97" spans="1:15" s="101" customFormat="1" hidden="1">
      <c r="B97" s="101">
        <v>5</v>
      </c>
      <c r="C97" s="101" t="s">
        <v>397</v>
      </c>
      <c r="D97" s="107">
        <v>4.2673539086851703E-2</v>
      </c>
      <c r="E97" s="107">
        <v>4.241261186742562E-2</v>
      </c>
      <c r="F97" s="107">
        <v>3.9869304856334088E-2</v>
      </c>
      <c r="G97" s="107">
        <v>2.9338202984641817E-2</v>
      </c>
      <c r="H97" s="107">
        <v>2.6289231720108028E-2</v>
      </c>
      <c r="I97" s="107">
        <v>1.7046427841617192E-2</v>
      </c>
      <c r="J97" s="107">
        <v>2.1116294173586448E-2</v>
      </c>
      <c r="K97" s="107">
        <v>2.5841512296495346E-2</v>
      </c>
      <c r="L97" s="107">
        <v>2.6774195456719843E-2</v>
      </c>
      <c r="M97" s="107">
        <v>3.1798990653725961E-2</v>
      </c>
      <c r="O97" s="101">
        <v>3689192</v>
      </c>
    </row>
    <row r="98" spans="1:15" s="101" customFormat="1" hidden="1">
      <c r="B98" s="101">
        <v>6</v>
      </c>
      <c r="C98" s="101" t="s">
        <v>251</v>
      </c>
      <c r="D98" s="107">
        <v>4.1606153863379867E-2</v>
      </c>
      <c r="E98" s="107">
        <v>3.5180657151089902E-2</v>
      </c>
      <c r="F98" s="107">
        <v>2.7403972948724899E-2</v>
      </c>
      <c r="G98" s="107">
        <v>3.6870146009705382E-2</v>
      </c>
      <c r="H98" s="107">
        <v>3.2842924046257466E-2</v>
      </c>
      <c r="I98" s="107">
        <v>3.3837336607344094E-2</v>
      </c>
      <c r="J98" s="107">
        <v>4.3566374318584497E-2</v>
      </c>
      <c r="K98" s="107">
        <v>4.5575047923882422E-2</v>
      </c>
      <c r="L98" s="107">
        <v>4.2370982905273351E-2</v>
      </c>
      <c r="M98" s="107">
        <v>4.3653129718421439E-2</v>
      </c>
      <c r="O98" s="101">
        <v>5920853</v>
      </c>
    </row>
    <row r="99" spans="1:15" s="101" customFormat="1" hidden="1">
      <c r="B99" s="101">
        <v>7</v>
      </c>
      <c r="D99" s="107"/>
      <c r="E99" s="107"/>
      <c r="F99" s="107"/>
      <c r="G99" s="107"/>
      <c r="H99" s="107"/>
      <c r="I99" s="107"/>
      <c r="J99" s="107"/>
      <c r="K99" s="107"/>
      <c r="L99" s="107"/>
      <c r="M99" s="107"/>
      <c r="O99" s="101">
        <v>2480382</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7</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43</v>
      </c>
      <c r="D121" s="52">
        <v>86</v>
      </c>
      <c r="E121" s="52">
        <v>43</v>
      </c>
      <c r="F121" s="53">
        <v>172</v>
      </c>
    </row>
    <row r="122" spans="1:15" ht="18" customHeight="1">
      <c r="A122" s="186" t="s">
        <v>198</v>
      </c>
      <c r="B122" s="35" t="s">
        <v>199</v>
      </c>
      <c r="C122" s="54">
        <v>11.14093017578125</v>
      </c>
      <c r="D122" s="54">
        <v>11.278255939483643</v>
      </c>
      <c r="E122" s="54">
        <v>11.089302062988281</v>
      </c>
      <c r="F122" s="55">
        <v>11.196685791015625</v>
      </c>
    </row>
    <row r="123" spans="1:15" ht="18" customHeight="1">
      <c r="A123" s="187"/>
      <c r="B123" s="37" t="s">
        <v>190</v>
      </c>
      <c r="C123" s="56">
        <v>119.16278839111328</v>
      </c>
      <c r="D123" s="56">
        <v>154.90697479248047</v>
      </c>
      <c r="E123" s="56">
        <v>141.11627197265625</v>
      </c>
      <c r="F123" s="57">
        <v>142.52325439453125</v>
      </c>
    </row>
    <row r="124" spans="1:15" ht="18" customHeight="1">
      <c r="A124" s="187"/>
      <c r="B124" s="37" t="s">
        <v>191</v>
      </c>
      <c r="C124" s="56">
        <v>12.860465049743652</v>
      </c>
      <c r="D124" s="56">
        <v>12.872092723846436</v>
      </c>
      <c r="E124" s="56">
        <v>11.558139801025391</v>
      </c>
      <c r="F124" s="57">
        <v>12.540698051452637</v>
      </c>
    </row>
    <row r="125" spans="1:15" ht="18" customHeight="1">
      <c r="A125" s="187"/>
      <c r="B125" s="37" t="s">
        <v>192</v>
      </c>
      <c r="C125" s="56">
        <v>100.23541259765625</v>
      </c>
      <c r="D125" s="56">
        <v>117.86651992797852</v>
      </c>
      <c r="E125" s="56">
        <v>108.39574432373047</v>
      </c>
      <c r="F125" s="57">
        <v>111.09104919433594</v>
      </c>
    </row>
    <row r="126" spans="1:15" ht="18" customHeight="1">
      <c r="A126" s="187"/>
      <c r="B126" s="37" t="s">
        <v>193</v>
      </c>
      <c r="C126" s="33">
        <v>75.836456298828125</v>
      </c>
      <c r="D126" s="33">
        <v>52.912979125976563</v>
      </c>
      <c r="E126" s="33">
        <v>23.796539306640625</v>
      </c>
      <c r="F126" s="58">
        <v>51.364738464355469</v>
      </c>
    </row>
    <row r="127" spans="1:15" ht="18" customHeight="1">
      <c r="A127" s="187"/>
      <c r="B127" s="37" t="s">
        <v>200</v>
      </c>
      <c r="C127" s="33">
        <f ca="1">290.6299375*OFFSET($L$113,MATCH($N$1,$C$113:$C$114,0)-1,0)</f>
        <v>290.62993749999998</v>
      </c>
      <c r="D127" s="33">
        <f ca="1">180.7008359375*OFFSET($L$113,MATCH($N$1,$C$113:$C$114,0)-1,0)</f>
        <v>180.70083593749999</v>
      </c>
      <c r="E127" s="33">
        <f ca="1">95.7172265625*OFFSET($L$113,MATCH($N$1,$C$113:$C$114,0)-1,0)</f>
        <v>95.717226562500002</v>
      </c>
      <c r="F127" s="58">
        <f ca="1">186.937203125*OFFSET($L$113,MATCH($N$1,$C$113:$C$114,0)-1,0)</f>
        <v>186.937203125</v>
      </c>
    </row>
    <row r="128" spans="1:15" ht="18" customHeight="1">
      <c r="A128" s="187"/>
      <c r="B128" s="37" t="s">
        <v>195</v>
      </c>
      <c r="C128" s="56">
        <v>121.18604278564453</v>
      </c>
      <c r="D128" s="56">
        <v>147.11627960205078</v>
      </c>
      <c r="E128" s="56">
        <v>166.16279602050781</v>
      </c>
      <c r="F128" s="57">
        <v>145.39535522460938</v>
      </c>
    </row>
    <row r="129" spans="1:15" ht="18" customHeight="1">
      <c r="A129" s="187"/>
      <c r="B129" s="37" t="s">
        <v>201</v>
      </c>
      <c r="C129" s="56">
        <v>31.093023300170898</v>
      </c>
      <c r="D129" s="56">
        <v>25.093023300170898</v>
      </c>
      <c r="E129" s="56">
        <v>32.697673797607422</v>
      </c>
      <c r="F129" s="57">
        <v>28.494186401367188</v>
      </c>
    </row>
    <row r="130" spans="1:15" ht="18" customHeight="1">
      <c r="A130" s="187"/>
      <c r="B130" s="37" t="s">
        <v>202</v>
      </c>
      <c r="C130" s="59">
        <v>0.62578541040420532</v>
      </c>
      <c r="D130" s="59">
        <v>0.35966773540702673</v>
      </c>
      <c r="E130" s="59">
        <v>0.14321219921112061</v>
      </c>
      <c r="F130" s="60">
        <v>0.35327634215354919</v>
      </c>
    </row>
    <row r="131" spans="1:15" ht="18" customHeight="1">
      <c r="A131" s="188"/>
      <c r="B131" s="39" t="s">
        <v>203</v>
      </c>
      <c r="C131" s="40">
        <f ca="1">3832.32486964836*OFFSET($L$113,MATCH($N$1,$C$113:$C$114,0)-1,0)</f>
        <v>3832.3248696483602</v>
      </c>
      <c r="D131" s="40">
        <f ca="1">3415.05692785286*OFFSET($L$113,MATCH($N$1,$C$113:$C$114,0)-1,0)</f>
        <v>3415.0569278528601</v>
      </c>
      <c r="E131" s="40">
        <f ca="1">4022.31708271082*OFFSET($L$113,MATCH($N$1,$C$113:$C$114,0)-1,0)</f>
        <v>4022.3170827108202</v>
      </c>
      <c r="F131" s="61">
        <f ca="1">3639*OFFSET($L$113,MATCH($N$1,$C$113:$C$114,0)-1,0)</f>
        <v>3639</v>
      </c>
    </row>
    <row r="132" spans="1:15" ht="18" customHeight="1">
      <c r="A132" s="198" t="s">
        <v>204</v>
      </c>
      <c r="B132" s="35" t="s">
        <v>205</v>
      </c>
      <c r="C132" s="62">
        <v>4.863943257682255</v>
      </c>
      <c r="D132" s="62">
        <v>2.2729124079798546</v>
      </c>
      <c r="E132" s="62">
        <v>0.98870577002837057</v>
      </c>
      <c r="F132" s="63">
        <v>2.3829739622537049</v>
      </c>
    </row>
    <row r="133" spans="1:15" ht="18" customHeight="1">
      <c r="A133" s="199"/>
      <c r="B133" s="37" t="s">
        <v>206</v>
      </c>
      <c r="C133" s="59">
        <f ca="1">18.6402107109742*OFFSET($L$113,MATCH($N$1,$C$113:$C$114,0)-1,0)</f>
        <v>18.640210710974198</v>
      </c>
      <c r="D133" s="59">
        <f ca="1">7.76212526527433*OFFSET($L$113,MATCH($N$1,$C$113:$C$114,0)-1,0)</f>
        <v>7.7621252652743298</v>
      </c>
      <c r="E133" s="59">
        <f ca="1">3.97688810855987*OFFSET($L$113,MATCH($N$1,$C$113:$C$114,0)-1,0)</f>
        <v>3.9768881085598702</v>
      </c>
      <c r="F133" s="60">
        <f ca="1">8.67261278732176*OFFSET($L$113,MATCH($N$1,$C$113:$C$114,0)-1,0)</f>
        <v>8.6726127873217607</v>
      </c>
    </row>
    <row r="134" spans="1:15" ht="18" customHeight="1">
      <c r="A134" s="199"/>
      <c r="B134" s="37" t="s">
        <v>153</v>
      </c>
      <c r="C134" s="59">
        <f ca="1">11.6831919515744*OFFSET($L$113,MATCH($N$1,$C$113:$C$114,0)-1,0)</f>
        <v>11.6831919515744</v>
      </c>
      <c r="D134" s="59">
        <f ca="1">5.17487496083022*OFFSET($L$113,MATCH($N$1,$C$113:$C$114,0)-1,0)</f>
        <v>5.1748749608302198</v>
      </c>
      <c r="E134" s="59">
        <f ca="1">2.93114562054537*OFFSET($L$113,MATCH($N$1,$C$113:$C$114,0)-1,0)</f>
        <v>2.9311456205453701</v>
      </c>
      <c r="F134" s="60">
        <f ca="1">5.72546831068902*OFFSET($L$113,MATCH($N$1,$C$113:$C$114,0)-1,0)</f>
        <v>5.7254683106890196</v>
      </c>
    </row>
    <row r="135" spans="1:15" ht="18" customHeight="1">
      <c r="A135" s="200"/>
      <c r="B135" s="39" t="s">
        <v>154</v>
      </c>
      <c r="C135" s="64">
        <f ca="1">6.95701875939981*OFFSET($L$113,MATCH($N$1,$C$113:$C$114,0)-1,0)</f>
        <v>6.9570187593998103</v>
      </c>
      <c r="D135" s="64">
        <f ca="1">2.58725030444411*OFFSET($L$113,MATCH($N$1,$C$113:$C$114,0)-1,0)</f>
        <v>2.58725030444411</v>
      </c>
      <c r="E135" s="64">
        <f ca="1">1.04574248801449*OFFSET($L$113,MATCH($N$1,$C$113:$C$114,0)-1,0)</f>
        <v>1.0457424880144901</v>
      </c>
      <c r="F135" s="65">
        <f ca="1">2.94714447663274*OFFSET($L$113,MATCH($N$1,$C$113:$C$114,0)-1,0)</f>
        <v>2.9471444766327402</v>
      </c>
    </row>
    <row r="136" spans="1:15" ht="18" customHeight="1">
      <c r="A136" s="201" t="s">
        <v>260</v>
      </c>
      <c r="B136" s="37" t="s">
        <v>261</v>
      </c>
      <c r="C136" s="66">
        <f ca="1">7.3385595703125*OFFSET($L$113,MATCH($N$1,$C$113:$C$114,0)-1,0)</f>
        <v>7.3385595703125004</v>
      </c>
      <c r="D136" s="66">
        <f ca="1">11.2674477539063*OFFSET($L$113,MATCH($N$1,$C$113:$C$114,0)-1,0)</f>
        <v>11.2674477539063</v>
      </c>
      <c r="E136" s="66">
        <f ca="1">12.6616240234375*OFFSET($L$113,MATCH($N$1,$C$113:$C$114,0)-1,0)</f>
        <v>12.661624023437501</v>
      </c>
      <c r="F136" s="67">
        <f ca="1">10.63376953125*OFFSET($L$113,MATCH($N$1,$C$113:$C$114,0)-1,0)</f>
        <v>10.63376953125</v>
      </c>
    </row>
    <row r="137" spans="1:15" ht="18" customHeight="1">
      <c r="A137" s="202"/>
      <c r="B137" s="37" t="s">
        <v>262</v>
      </c>
      <c r="C137" s="31">
        <v>15390.116143175808</v>
      </c>
      <c r="D137" s="31">
        <v>23630.814921226702</v>
      </c>
      <c r="E137" s="31">
        <v>26557.559125120752</v>
      </c>
      <c r="F137" s="68">
        <v>22302.325581395347</v>
      </c>
    </row>
    <row r="138" spans="1:15" ht="18" customHeight="1">
      <c r="A138" s="202"/>
      <c r="B138" s="37" t="s">
        <v>263</v>
      </c>
      <c r="C138" s="31">
        <v>126.99578094482422</v>
      </c>
      <c r="D138" s="31">
        <v>160.62678437184522</v>
      </c>
      <c r="E138" s="31">
        <v>159.82855224609375</v>
      </c>
      <c r="F138" s="68">
        <v>153.39091491699219</v>
      </c>
    </row>
    <row r="139" spans="1:15" ht="18" customHeight="1">
      <c r="A139" s="202"/>
      <c r="B139" s="37" t="s">
        <v>264</v>
      </c>
      <c r="C139" s="31">
        <f ca="1">60.5561449291074*OFFSET($L$113,MATCH($N$1,$C$113:$C$114,0)-1,0)</f>
        <v>60.556144929107397</v>
      </c>
      <c r="D139" s="31">
        <f ca="1">76.5887214140044*OFFSET($L$113,MATCH($N$1,$C$113:$C$114,0)-1,0)</f>
        <v>76.588721414004397</v>
      </c>
      <c r="E139" s="31">
        <f ca="1">76.2001141451351*OFFSET($L$113,MATCH($N$1,$C$113:$C$114,0)-1,0)</f>
        <v>76.200114145135103</v>
      </c>
      <c r="F139" s="68">
        <f ca="1">73.1369273442247*OFFSET($L$113,MATCH($N$1,$C$113:$C$114,0)-1,0)</f>
        <v>73.136927344224702</v>
      </c>
      <c r="I139" s="43"/>
      <c r="L139" s="69" t="str">
        <f>C120</f>
        <v>Most
profitable
quartile</v>
      </c>
      <c r="M139" s="69" t="str">
        <f>D120</f>
        <v>Middle
two quartiles</v>
      </c>
      <c r="N139" s="69" t="str">
        <f>E120</f>
        <v>Least
profitable
quartile</v>
      </c>
      <c r="O139" s="69"/>
    </row>
    <row r="140" spans="1:15" ht="18" customHeight="1">
      <c r="A140" s="202"/>
      <c r="B140" s="37" t="s">
        <v>265</v>
      </c>
      <c r="C140" s="31">
        <f ca="1">96.7682290084261*OFFSET($L$113,MATCH($N$1,$C$113:$C$114,0)-1,0)</f>
        <v>96.768229008426104</v>
      </c>
      <c r="D140" s="31">
        <f ca="1">212.942985634591*OFFSET($L$113,MATCH($N$1,$C$113:$C$114,0)-1,0)</f>
        <v>212.942985634591</v>
      </c>
      <c r="E140" s="31">
        <f ca="1">532.078377459876*OFFSET($L$113,MATCH($N$1,$C$113:$C$114,0)-1,0)</f>
        <v>532.07837745987604</v>
      </c>
      <c r="F140" s="68">
        <f ca="1">207.024699222976*OFFSET($L$113,MATCH($N$1,$C$113:$C$114,0)-1,0)</f>
        <v>207.02469922297601</v>
      </c>
      <c r="I140" s="43"/>
      <c r="K140" s="69" t="s">
        <v>266</v>
      </c>
      <c r="L140" s="70">
        <f t="shared" ref="L140:M142" ca="1" si="2">C141</f>
        <v>304.10412500000001</v>
      </c>
      <c r="M140" s="70">
        <f t="shared" ca="1" si="2"/>
        <v>188.57152343749999</v>
      </c>
      <c r="N140" s="70">
        <f ca="1">E141</f>
        <v>99.844703124999995</v>
      </c>
      <c r="O140" s="70"/>
    </row>
    <row r="141" spans="1:15" ht="18" customHeight="1">
      <c r="A141" s="179" t="s">
        <v>267</v>
      </c>
      <c r="B141" s="35" t="s">
        <v>268</v>
      </c>
      <c r="C141" s="71">
        <f ca="1">304.104125*OFFSET($L$113,MATCH($N$1,$C$113:$C$114,0)-1,0)</f>
        <v>304.10412500000001</v>
      </c>
      <c r="D141" s="71">
        <f ca="1">188.5715234375*OFFSET($L$113,MATCH($N$1,$C$113:$C$114,0)-1,0)</f>
        <v>188.57152343749999</v>
      </c>
      <c r="E141" s="71">
        <f ca="1">99.844703125*OFFSET($L$113,MATCH($N$1,$C$113:$C$114,0)-1,0)</f>
        <v>99.844703124999995</v>
      </c>
      <c r="F141" s="72">
        <f ca="1">195.27296875*OFFSET($L$113,MATCH($N$1,$C$113:$C$114,0)-1,0)</f>
        <v>195.27296874999999</v>
      </c>
      <c r="I141" s="43"/>
      <c r="K141" s="69" t="s">
        <v>269</v>
      </c>
      <c r="L141" s="70">
        <f t="shared" ca="1" si="2"/>
        <v>195.633359375</v>
      </c>
      <c r="M141" s="70">
        <f t="shared" ca="1" si="2"/>
        <v>128.34081640625001</v>
      </c>
      <c r="N141" s="70">
        <f ca="1">E142</f>
        <v>74.675382812500004</v>
      </c>
      <c r="O141" s="70"/>
    </row>
    <row r="142" spans="1:15" ht="18" customHeight="1">
      <c r="A142" s="180"/>
      <c r="B142" s="37" t="s">
        <v>270</v>
      </c>
      <c r="C142" s="31">
        <f ca="1">195.633359375*OFFSET($L$113,MATCH($N$1,$C$113:$C$114,0)-1,0)</f>
        <v>195.633359375</v>
      </c>
      <c r="D142" s="31">
        <f ca="1">128.34081640625*OFFSET($L$113,MATCH($N$1,$C$113:$C$114,0)-1,0)</f>
        <v>128.34081640625001</v>
      </c>
      <c r="E142" s="31">
        <f ca="1">74.6753828125*OFFSET($L$113,MATCH($N$1,$C$113:$C$114,0)-1,0)</f>
        <v>74.675382812500004</v>
      </c>
      <c r="F142" s="68">
        <f ca="1">131.74759375*OFFSET($L$113,MATCH($N$1,$C$113:$C$114,0)-1,0)</f>
        <v>131.74759374999999</v>
      </c>
      <c r="I142" s="43"/>
      <c r="K142" s="69" t="s">
        <v>271</v>
      </c>
      <c r="L142" s="70">
        <f t="shared" ca="1" si="2"/>
        <v>108.470765625</v>
      </c>
      <c r="M142" s="70">
        <f t="shared" ca="1" si="2"/>
        <v>60.230707031249999</v>
      </c>
      <c r="N142" s="70">
        <f ca="1">E143</f>
        <v>25.169320312499998</v>
      </c>
      <c r="O142" s="70"/>
    </row>
    <row r="143" spans="1:15" ht="18" customHeight="1">
      <c r="A143" s="181"/>
      <c r="B143" s="39" t="s">
        <v>272</v>
      </c>
      <c r="C143" s="40">
        <f ca="1">108.470765625*OFFSET($L$113,MATCH($N$1,$C$113:$C$114,0)-1,0)</f>
        <v>108.470765625</v>
      </c>
      <c r="D143" s="40">
        <f ca="1">60.23070703125*OFFSET($L$113,MATCH($N$1,$C$113:$C$114,0)-1,0)</f>
        <v>60.230707031249999</v>
      </c>
      <c r="E143" s="40">
        <f ca="1">25.1693203125*OFFSET($L$113,MATCH($N$1,$C$113:$C$114,0)-1,0)</f>
        <v>25.169320312499998</v>
      </c>
      <c r="F143" s="61">
        <f ca="1">63.52537109375*OFFSET($L$113,MATCH($N$1,$C$113:$C$114,0)-1,0)</f>
        <v>63.525371093750003</v>
      </c>
      <c r="I143" s="43"/>
      <c r="K143" s="69" t="s">
        <v>273</v>
      </c>
      <c r="L143" s="73">
        <f ca="1">IFERROR(L141/L$140,"")</f>
        <v>0.6433104430102683</v>
      </c>
      <c r="M143" s="73">
        <f t="shared" ref="M143:N144" ca="1" si="3">IFERROR(M141/M$140,"")</f>
        <v>0.68059489612591051</v>
      </c>
      <c r="N143" s="73">
        <f t="shared" ca="1" si="3"/>
        <v>0.74791531724032068</v>
      </c>
      <c r="O143" s="73"/>
    </row>
    <row r="144" spans="1:15" ht="18" customHeight="1">
      <c r="I144" s="43"/>
      <c r="K144" s="69" t="s">
        <v>274</v>
      </c>
      <c r="L144" s="73">
        <f ca="1">IFERROR(L142/L$140,"")</f>
        <v>0.3566895569897317</v>
      </c>
      <c r="M144" s="73">
        <f t="shared" ca="1" si="3"/>
        <v>0.31940510387408955</v>
      </c>
      <c r="N144" s="73">
        <f t="shared" ca="1" si="3"/>
        <v>0.25208468275967943</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8</v>
      </c>
      <c r="B162" s="48"/>
      <c r="C162" s="74" t="s">
        <v>255</v>
      </c>
      <c r="D162" s="74" t="s">
        <v>276</v>
      </c>
      <c r="E162" s="74" t="s">
        <v>257</v>
      </c>
      <c r="F162" s="74" t="s">
        <v>277</v>
      </c>
      <c r="G162" s="75">
        <v>7</v>
      </c>
      <c r="H162" s="74"/>
      <c r="I162" s="74" t="s">
        <v>255</v>
      </c>
      <c r="J162" s="74" t="s">
        <v>276</v>
      </c>
      <c r="K162" s="74" t="s">
        <v>257</v>
      </c>
      <c r="L162" s="48" t="s">
        <v>277</v>
      </c>
      <c r="R162" s="21"/>
      <c r="S162" s="21"/>
    </row>
    <row r="163" spans="1:19" s="43" customFormat="1">
      <c r="A163" s="44">
        <v>1</v>
      </c>
      <c r="B163" s="48" t="s">
        <v>308</v>
      </c>
      <c r="C163" s="48">
        <v>0.35153415561846424</v>
      </c>
      <c r="D163" s="48">
        <v>0.4245623940723216</v>
      </c>
      <c r="E163" s="48">
        <v>0.28229058628753279</v>
      </c>
      <c r="F163" s="44">
        <v>1692097</v>
      </c>
      <c r="G163" s="44">
        <v>1</v>
      </c>
      <c r="H163" s="48" t="s">
        <v>159</v>
      </c>
      <c r="I163" s="48">
        <v>5.403506085793279E-2</v>
      </c>
      <c r="J163" s="48">
        <v>0.28554261510493584</v>
      </c>
      <c r="K163" s="48">
        <v>0.24972491319397899</v>
      </c>
      <c r="L163" s="44">
        <v>3050596</v>
      </c>
      <c r="R163" s="21"/>
      <c r="S163" s="21"/>
    </row>
    <row r="164" spans="1:19" s="43" customFormat="1">
      <c r="A164" s="44">
        <v>2</v>
      </c>
      <c r="B164" s="48" t="s">
        <v>174</v>
      </c>
      <c r="C164" s="48">
        <v>0.51869307634003159</v>
      </c>
      <c r="D164" s="48">
        <v>0.29406794852330004</v>
      </c>
      <c r="E164" s="48">
        <v>0.42426669023965957</v>
      </c>
      <c r="F164" s="44">
        <v>12153634</v>
      </c>
      <c r="G164" s="44">
        <v>2</v>
      </c>
      <c r="H164" s="48" t="s">
        <v>166</v>
      </c>
      <c r="I164" s="48">
        <v>0.31006991039367149</v>
      </c>
      <c r="J164" s="48">
        <v>0.27779696575097562</v>
      </c>
      <c r="K164" s="48">
        <v>0.30078037329844498</v>
      </c>
      <c r="L164" s="44">
        <v>553960</v>
      </c>
      <c r="N164" s="43" t="s">
        <v>278</v>
      </c>
      <c r="R164" s="21"/>
      <c r="S164" s="21"/>
    </row>
    <row r="165" spans="1:19" s="43" customFormat="1">
      <c r="A165" s="44">
        <v>3</v>
      </c>
      <c r="B165" s="48" t="s">
        <v>159</v>
      </c>
      <c r="C165" s="48">
        <v>1.7258741842433183E-2</v>
      </c>
      <c r="D165" s="48">
        <v>8.959701037896127E-2</v>
      </c>
      <c r="E165" s="48">
        <v>9.1720877989004204E-2</v>
      </c>
      <c r="F165" s="44">
        <v>3050596</v>
      </c>
      <c r="G165" s="44">
        <v>3</v>
      </c>
      <c r="H165" s="48" t="s">
        <v>174</v>
      </c>
      <c r="I165" s="48">
        <v>0.47814930194720828</v>
      </c>
      <c r="J165" s="48">
        <v>0.2140452580623321</v>
      </c>
      <c r="K165" s="48">
        <v>0.26760748652301258</v>
      </c>
      <c r="L165" s="44">
        <v>12153634</v>
      </c>
      <c r="N165" s="43" t="s">
        <v>279</v>
      </c>
      <c r="R165" s="21"/>
      <c r="S165" s="21"/>
    </row>
    <row r="166" spans="1:19" s="43" customFormat="1">
      <c r="A166" s="44">
        <v>4</v>
      </c>
      <c r="B166" s="48" t="s">
        <v>351</v>
      </c>
      <c r="C166" s="48">
        <v>0</v>
      </c>
      <c r="D166" s="48">
        <v>7.6669354697787059E-2</v>
      </c>
      <c r="E166" s="48">
        <v>0</v>
      </c>
      <c r="F166" s="44">
        <v>11115023</v>
      </c>
      <c r="G166" s="44">
        <v>4</v>
      </c>
      <c r="H166" s="48" t="s">
        <v>308</v>
      </c>
      <c r="I166" s="48">
        <v>0.11253842355493208</v>
      </c>
      <c r="J166" s="48">
        <v>0.14761282921060281</v>
      </c>
      <c r="K166" s="48">
        <v>8.1023181848241199E-2</v>
      </c>
      <c r="L166" s="44">
        <v>1692097</v>
      </c>
      <c r="R166" s="21"/>
      <c r="S166" s="21"/>
    </row>
    <row r="167" spans="1:19" s="43" customFormat="1">
      <c r="A167" s="44">
        <v>5</v>
      </c>
      <c r="B167" s="48" t="s">
        <v>166</v>
      </c>
      <c r="C167" s="48">
        <v>6.9641932528776831E-2</v>
      </c>
      <c r="D167" s="48">
        <v>5.6714331931723531E-2</v>
      </c>
      <c r="E167" s="48">
        <v>7.4031477759429976E-2</v>
      </c>
      <c r="F167" s="44">
        <v>553960</v>
      </c>
      <c r="G167" s="44">
        <v>5</v>
      </c>
      <c r="H167" s="48" t="s">
        <v>397</v>
      </c>
      <c r="I167" s="48">
        <v>0</v>
      </c>
      <c r="J167" s="48">
        <v>2.6259231819616573E-2</v>
      </c>
      <c r="K167" s="48">
        <v>7.736040054732668E-2</v>
      </c>
      <c r="L167" s="44">
        <v>3689192</v>
      </c>
      <c r="R167" s="21"/>
      <c r="S167" s="21"/>
    </row>
    <row r="168" spans="1:19" s="43" customFormat="1">
      <c r="A168" s="44">
        <v>6</v>
      </c>
      <c r="B168" s="48" t="s">
        <v>397</v>
      </c>
      <c r="C168" s="48">
        <v>1.4883771611637529E-2</v>
      </c>
      <c r="D168" s="48">
        <v>0</v>
      </c>
      <c r="E168" s="48">
        <v>9.2580886621300582E-2</v>
      </c>
      <c r="F168" s="44">
        <v>3689192</v>
      </c>
      <c r="G168" s="44">
        <v>6</v>
      </c>
      <c r="H168" s="48" t="s">
        <v>251</v>
      </c>
      <c r="I168" s="48">
        <v>3.3254639974843236E-2</v>
      </c>
      <c r="J168" s="48">
        <v>4.8743100051537147E-2</v>
      </c>
      <c r="K168" s="48">
        <v>2.3503644588995565E-2</v>
      </c>
      <c r="L168" s="44">
        <v>5920853</v>
      </c>
      <c r="R168" s="21"/>
      <c r="S168" s="21"/>
    </row>
    <row r="169" spans="1:19" s="43" customFormat="1">
      <c r="A169" s="44">
        <v>7</v>
      </c>
      <c r="B169" s="48" t="s">
        <v>251</v>
      </c>
      <c r="C169" s="48">
        <v>2.7988322058656645E-2</v>
      </c>
      <c r="D169" s="48">
        <v>5.8388960395906575E-2</v>
      </c>
      <c r="E169" s="48">
        <v>3.5109481103072882E-2</v>
      </c>
      <c r="F169" s="44">
        <v>5920853</v>
      </c>
      <c r="G169" s="44">
        <v>7</v>
      </c>
      <c r="H169" s="48"/>
      <c r="I169" s="48">
        <v>1.1952663271412202E-2</v>
      </c>
      <c r="J169" s="48">
        <v>0</v>
      </c>
      <c r="K169" s="48">
        <v>0</v>
      </c>
      <c r="L169" s="44">
        <v>11115023</v>
      </c>
      <c r="R169" s="21"/>
      <c r="S169" s="21"/>
    </row>
    <row r="170" spans="1:19" s="43" customFormat="1">
      <c r="A170" s="44">
        <v>8</v>
      </c>
      <c r="B170" s="48"/>
      <c r="C170" s="48">
        <v>0</v>
      </c>
      <c r="D170" s="48">
        <v>0</v>
      </c>
      <c r="E170" s="48">
        <v>0</v>
      </c>
      <c r="F170" s="44">
        <v>11115023</v>
      </c>
      <c r="G170" s="44">
        <v>8</v>
      </c>
      <c r="H170" s="48"/>
      <c r="I170" s="48">
        <v>1.1952663271412202E-2</v>
      </c>
      <c r="J170" s="48">
        <v>0</v>
      </c>
      <c r="K170" s="48">
        <v>0</v>
      </c>
      <c r="L170" s="44">
        <v>11115023</v>
      </c>
      <c r="R170" s="21"/>
      <c r="S170" s="21"/>
    </row>
    <row r="171" spans="1:19" s="43" customFormat="1">
      <c r="A171" s="44">
        <v>9</v>
      </c>
      <c r="B171" s="48"/>
      <c r="C171" s="48">
        <v>0</v>
      </c>
      <c r="D171" s="48">
        <v>0</v>
      </c>
      <c r="E171" s="48">
        <v>0</v>
      </c>
      <c r="F171" s="44">
        <v>11115023</v>
      </c>
      <c r="G171" s="44">
        <v>9</v>
      </c>
      <c r="H171" s="48"/>
      <c r="I171" s="48">
        <v>1.1952663271412202E-2</v>
      </c>
      <c r="J171" s="48">
        <v>0</v>
      </c>
      <c r="K171" s="48">
        <v>0</v>
      </c>
      <c r="L171" s="44">
        <v>11115023</v>
      </c>
      <c r="R171" s="21"/>
      <c r="S171" s="21"/>
    </row>
    <row r="172" spans="1:19" s="43" customFormat="1">
      <c r="A172" s="44">
        <v>10</v>
      </c>
      <c r="B172" s="48"/>
      <c r="C172" s="48">
        <v>0</v>
      </c>
      <c r="D172" s="48">
        <v>0</v>
      </c>
      <c r="E172" s="48">
        <v>0</v>
      </c>
      <c r="F172" s="44">
        <v>11115023</v>
      </c>
      <c r="G172" s="44">
        <v>10</v>
      </c>
      <c r="H172" s="48"/>
      <c r="I172" s="48">
        <v>1.1952663271412202E-2</v>
      </c>
      <c r="J172" s="48">
        <v>0</v>
      </c>
      <c r="K172" s="48">
        <v>0</v>
      </c>
      <c r="L172" s="44">
        <v>11115023</v>
      </c>
      <c r="R172" s="21"/>
      <c r="S172" s="21"/>
    </row>
    <row r="173" spans="1:19" s="43" customFormat="1">
      <c r="A173" s="44">
        <v>11</v>
      </c>
      <c r="B173" s="48"/>
      <c r="C173" s="48">
        <v>0</v>
      </c>
      <c r="D173" s="48">
        <v>0</v>
      </c>
      <c r="E173" s="48">
        <v>0</v>
      </c>
      <c r="F173" s="44">
        <v>11115023</v>
      </c>
      <c r="G173" s="44">
        <v>11</v>
      </c>
      <c r="H173" s="48"/>
      <c r="I173" s="48">
        <v>1.1952663271412202E-2</v>
      </c>
      <c r="J173" s="48">
        <v>0</v>
      </c>
      <c r="K173" s="48">
        <v>0</v>
      </c>
      <c r="L173" s="44">
        <v>11115023</v>
      </c>
      <c r="R173" s="21"/>
      <c r="S173" s="21"/>
    </row>
    <row r="174" spans="1:19" s="43" customFormat="1">
      <c r="A174" s="44">
        <v>12</v>
      </c>
      <c r="B174" s="48"/>
      <c r="C174" s="48">
        <v>0</v>
      </c>
      <c r="D174" s="48">
        <v>0</v>
      </c>
      <c r="E174" s="48">
        <v>0</v>
      </c>
      <c r="F174" s="44">
        <v>11115023</v>
      </c>
      <c r="G174" s="44">
        <v>12</v>
      </c>
      <c r="H174" s="48"/>
      <c r="I174" s="48">
        <v>1.1952663271412202E-2</v>
      </c>
      <c r="J174" s="48">
        <v>0</v>
      </c>
      <c r="K174" s="48">
        <v>0</v>
      </c>
      <c r="L174" s="44">
        <v>11115023</v>
      </c>
      <c r="R174" s="21"/>
      <c r="S174" s="21"/>
    </row>
    <row r="175" spans="1:19" s="43" customFormat="1">
      <c r="A175" s="44">
        <v>13</v>
      </c>
      <c r="B175" s="48"/>
      <c r="C175" s="48">
        <v>0</v>
      </c>
      <c r="D175" s="48">
        <v>0</v>
      </c>
      <c r="E175" s="48">
        <v>0</v>
      </c>
      <c r="F175" s="44">
        <v>11115023</v>
      </c>
      <c r="G175" s="44">
        <v>13</v>
      </c>
      <c r="H175" s="48"/>
      <c r="I175" s="48">
        <v>1.1952663271412202E-2</v>
      </c>
      <c r="J175" s="48">
        <v>0</v>
      </c>
      <c r="K175" s="48">
        <v>0</v>
      </c>
      <c r="L175" s="44">
        <v>11115023</v>
      </c>
      <c r="R175" s="21"/>
      <c r="S175" s="21"/>
    </row>
    <row r="176" spans="1:19" s="43" customFormat="1">
      <c r="A176" s="44">
        <v>14</v>
      </c>
      <c r="B176" s="48"/>
      <c r="C176" s="48">
        <v>0</v>
      </c>
      <c r="D176" s="48">
        <v>0</v>
      </c>
      <c r="E176" s="48">
        <v>0</v>
      </c>
      <c r="F176" s="44">
        <v>11115023</v>
      </c>
      <c r="G176" s="44">
        <v>14</v>
      </c>
      <c r="H176" s="48"/>
      <c r="I176" s="48">
        <v>1.1952663271412202E-2</v>
      </c>
      <c r="J176" s="48">
        <v>0</v>
      </c>
      <c r="K176" s="48">
        <v>0</v>
      </c>
      <c r="L176" s="44">
        <v>11115023</v>
      </c>
      <c r="R176" s="21"/>
      <c r="S176" s="21"/>
    </row>
    <row r="177" spans="1:19" s="43" customFormat="1">
      <c r="A177" s="44">
        <v>15</v>
      </c>
      <c r="B177" s="48"/>
      <c r="C177" s="48">
        <v>0</v>
      </c>
      <c r="D177" s="48">
        <v>0</v>
      </c>
      <c r="E177" s="48">
        <v>0</v>
      </c>
      <c r="F177" s="44">
        <v>11115023</v>
      </c>
      <c r="G177" s="44">
        <v>15</v>
      </c>
      <c r="H177" s="48"/>
      <c r="I177" s="48">
        <v>1.1952663271412202E-2</v>
      </c>
      <c r="J177" s="48">
        <v>0</v>
      </c>
      <c r="K177" s="48">
        <v>0</v>
      </c>
      <c r="L177" s="44">
        <v>11115023</v>
      </c>
      <c r="R177" s="21"/>
      <c r="S177" s="21"/>
    </row>
    <row r="178" spans="1:19" s="43" customFormat="1">
      <c r="A178" s="44">
        <v>16</v>
      </c>
      <c r="B178" s="48"/>
      <c r="C178" s="48">
        <v>0</v>
      </c>
      <c r="D178" s="48">
        <v>0</v>
      </c>
      <c r="E178" s="48">
        <v>0</v>
      </c>
      <c r="F178" s="44">
        <v>11115023</v>
      </c>
      <c r="G178" s="44">
        <v>16</v>
      </c>
      <c r="H178" s="48"/>
      <c r="I178" s="48">
        <v>1.1952663271412202E-2</v>
      </c>
      <c r="J178" s="48">
        <v>0</v>
      </c>
      <c r="K178" s="48">
        <v>0</v>
      </c>
      <c r="L178" s="44">
        <v>11115023</v>
      </c>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8EE314E7-85CB-4214-AC01-C16FAEDB44EE}">
      <formula1>$C$113:$C$114</formula1>
    </dataValidation>
  </dataValidations>
  <hyperlinks>
    <hyperlink ref="O1:P1" location="Home_page" display="Back to home page" xr:uid="{6FEC535B-75FB-444D-B616-F0E01F288C6F}"/>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786C030D-98A8-423A-869A-1DFC0E4E7758}">
          <x14:colorSeries rgb="FF323232"/>
          <x14:colorNegative rgb="FFD00000"/>
          <x14:colorAxis rgb="FF000000"/>
          <x14:colorMarkers rgb="FFD00000"/>
          <x14:colorFirst rgb="FFD00000"/>
          <x14:colorLast rgb="FFD00000"/>
          <x14:colorHigh rgb="FFD00000"/>
          <x14:colorLow rgb="FFD00000"/>
          <x14:sparklines>
            <x14:sparkline>
              <xm:f>'Pots and traps 10-12m'!D3:N3</xm:f>
              <xm:sqref>C3</xm:sqref>
            </x14:sparkline>
            <x14:sparkline>
              <xm:f>'Pots and traps 10-12m'!D4:N4</xm:f>
              <xm:sqref>C4</xm:sqref>
            </x14:sparkline>
            <x14:sparkline>
              <xm:f>'Pots and traps 10-12m'!D5:N5</xm:f>
              <xm:sqref>C5</xm:sqref>
            </x14:sparkline>
            <x14:sparkline>
              <xm:f>'Pots and traps 10-12m'!D6:N6</xm:f>
              <xm:sqref>C6</xm:sqref>
            </x14:sparkline>
            <x14:sparkline>
              <xm:f>'Pots and traps 10-12m'!D7:N7</xm:f>
              <xm:sqref>C7</xm:sqref>
            </x14:sparkline>
            <x14:sparkline>
              <xm:f>'Pots and traps 10-12m'!D8:N8</xm:f>
              <xm:sqref>C8</xm:sqref>
            </x14:sparkline>
            <x14:sparkline>
              <xm:f>'Pots and traps 10-12m'!D9:N9</xm:f>
              <xm:sqref>C9</xm:sqref>
            </x14:sparkline>
            <x14:sparkline>
              <xm:f>'Pots and traps 10-12m'!D10:N10</xm:f>
              <xm:sqref>C10</xm:sqref>
            </x14:sparkline>
            <x14:sparkline>
              <xm:f>'Pots and traps 10-12m'!D11:N11</xm:f>
              <xm:sqref>C11</xm:sqref>
            </x14:sparkline>
            <x14:sparkline>
              <xm:f>'Pots and traps 10-12m'!D12:N12</xm:f>
              <xm:sqref>C12</xm:sqref>
            </x14:sparkline>
            <x14:sparkline>
              <xm:f>'Pots and traps 10-12m'!D13:N13</xm:f>
              <xm:sqref>C13</xm:sqref>
            </x14:sparkline>
            <x14:sparkline>
              <xm:f>'Pots and traps 10-12m'!D14:N14</xm:f>
              <xm:sqref>C14</xm:sqref>
            </x14:sparkline>
            <x14:sparkline>
              <xm:f>'Pots and traps 10-12m'!D15:N15</xm:f>
              <xm:sqref>C15</xm:sqref>
            </x14:sparkline>
            <x14:sparkline>
              <xm:f>'Pots and traps 10-12m'!D16:N16</xm:f>
              <xm:sqref>C16</xm:sqref>
            </x14:sparkline>
            <x14:sparkline>
              <xm:f>'Pots and traps 10-12m'!D17:N17</xm:f>
              <xm:sqref>C17</xm:sqref>
            </x14:sparkline>
            <x14:sparkline>
              <xm:f>'Pots and traps 10-12m'!D18:N18</xm:f>
              <xm:sqref>C18</xm:sqref>
            </x14:sparkline>
            <x14:sparkline>
              <xm:f>'Pots and traps 10-12m'!D19:N19</xm:f>
              <xm:sqref>C19</xm:sqref>
            </x14:sparkline>
            <x14:sparkline>
              <xm:f>'Pots and traps 10-12m'!D20:N20</xm:f>
              <xm:sqref>C20</xm:sqref>
            </x14:sparkline>
            <x14:sparkline>
              <xm:f>'Pots and traps 10-12m'!D21:N21</xm:f>
              <xm:sqref>C21</xm:sqref>
            </x14:sparkline>
            <x14:sparkline>
              <xm:f>'Pots and traps 10-12m'!D22:N22</xm:f>
              <xm:sqref>C22</xm:sqref>
            </x14:sparkline>
            <x14:sparkline>
              <xm:f>'Pots and traps 10-12m'!D23:N23</xm:f>
              <xm:sqref>C23</xm:sqref>
            </x14:sparkline>
            <x14:sparkline>
              <xm:f>'Pots and traps 10-12m'!D24:N24</xm:f>
              <xm:sqref>C24</xm:sqref>
            </x14:sparkline>
            <x14:sparkline>
              <xm:f>'Pots and traps 10-12m'!D25:N25</xm:f>
              <xm:sqref>C25</xm:sqref>
            </x14:sparkline>
            <x14:sparkline>
              <xm:f>'Pots and traps 10-12m'!D26:N26</xm:f>
              <xm:sqref>C26</xm:sqref>
            </x14:sparkline>
            <x14:sparkline>
              <xm:f>'Pots and traps 10-12m'!D27:N27</xm:f>
              <xm:sqref>C27</xm:sqref>
            </x14:sparkline>
            <x14:sparkline>
              <xm:f>'Pots and traps 10-12m'!D28:N28</xm:f>
              <xm:sqref>C28</xm:sqref>
            </x14:sparkline>
            <x14:sparkline>
              <xm:f>'Pots and traps 10-12m'!D29:N29</xm:f>
              <xm:sqref>C29</xm:sqref>
            </x14:sparkline>
            <x14:sparkline>
              <xm:f>'Pots and traps 10-12m'!D30:N30</xm:f>
              <xm:sqref>C30</xm:sqref>
            </x14:sparkline>
            <x14:sparkline>
              <xm:f>'Pots and traps 10-12m'!D31:N31</xm:f>
              <xm:sqref>C31</xm:sqref>
            </x14:sparkline>
            <x14:sparkline>
              <xm:f>'Pots and traps 10-12m'!D32:N32</xm:f>
              <xm:sqref>C32</xm:sqref>
            </x14:sparkline>
            <x14:sparkline>
              <xm:f>'Pots and traps 10-12m'!D33:N33</xm:f>
              <xm:sqref>C33</xm:sqref>
            </x14:sparkline>
            <x14:sparkline>
              <xm:f>'Pots and traps 10-12m'!D34:N34</xm:f>
              <xm:sqref>C34</xm:sqref>
            </x14:sparkline>
            <x14:sparkline>
              <xm:f>'Pots and traps 10-12m'!D35:N35</xm:f>
              <xm:sqref>C35</xm:sqref>
            </x14:sparkline>
            <x14:sparkline>
              <xm:f>'Pots and traps 10-12m'!D36:N36</xm:f>
              <xm:sqref>C36</xm:sqref>
            </x14:sparkline>
            <x14:sparkline>
              <xm:f>'Pots and traps 10-12m'!D37:N37</xm:f>
              <xm:sqref>C37</xm:sqref>
            </x14:sparkline>
            <x14:sparkline>
              <xm:f>'Pots and traps 10-12m'!D38:N38</xm:f>
              <xm:sqref>C38</xm:sqref>
            </x14:sparkline>
            <x14:sparkline>
              <xm:f>'Pots and traps 10-12m'!D39:N39</xm:f>
              <xm:sqref>C39</xm:sqref>
            </x14:sparkline>
            <x14:sparkline>
              <xm:f>'Pots and traps 10-12m'!D40:N40</xm:f>
              <xm:sqref>C40</xm:sqref>
            </x14:sparkline>
            <x14:sparkline>
              <xm:f>'Pots and traps 10-12m'!D41:N41</xm:f>
              <xm:sqref>C41</xm:sqref>
            </x14:sparkline>
            <x14:sparkline>
              <xm:f>'Pots and traps 10-12m'!D42:N42</xm:f>
              <xm:sqref>C42</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890C-73DD-4661-AA45-0CDB6D76075A}">
  <sheetPr codeName="Feuil28">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29</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80</v>
      </c>
      <c r="E3" s="28">
        <v>86</v>
      </c>
      <c r="F3" s="28">
        <v>91</v>
      </c>
      <c r="G3" s="28">
        <v>95</v>
      </c>
      <c r="H3" s="28">
        <v>92</v>
      </c>
      <c r="I3" s="28">
        <v>91</v>
      </c>
      <c r="J3" s="28">
        <v>98</v>
      </c>
      <c r="K3" s="28">
        <v>105</v>
      </c>
      <c r="L3" s="28">
        <v>109</v>
      </c>
      <c r="M3" s="28">
        <v>104</v>
      </c>
      <c r="N3" s="28">
        <v>101</v>
      </c>
      <c r="O3" s="29">
        <f t="shared" ref="O3:O42" si="0">IF(N3=0,"",IFERROR(IF(AND(N3&gt;0,D3&lt;0),"na",IF(AND(N3&lt;0,D3&lt;0),-1,1)*(N3-D3)/D3),""))</f>
        <v>0.26250000000000001</v>
      </c>
      <c r="P3" s="29">
        <f t="shared" ref="P3:P42" si="1">IF(N3=0,"",IFERROR(IF(AND(N3&gt;0,J3&lt;0),"na",IF(AND(N3&lt;0,J3&lt;0),-1,1)*(N3-J3)/J3),""))</f>
        <v>3.0612244897959183E-2</v>
      </c>
    </row>
    <row r="4" spans="1:17" ht="18" customHeight="1">
      <c r="A4" s="185"/>
      <c r="B4" s="30" t="s">
        <v>190</v>
      </c>
      <c r="C4" s="31"/>
      <c r="D4" s="31">
        <v>17482</v>
      </c>
      <c r="E4" s="31">
        <v>18816</v>
      </c>
      <c r="F4" s="31">
        <v>20112</v>
      </c>
      <c r="G4" s="31">
        <v>21426</v>
      </c>
      <c r="H4" s="31">
        <v>21270</v>
      </c>
      <c r="I4" s="31">
        <v>21349</v>
      </c>
      <c r="J4" s="31">
        <v>23058</v>
      </c>
      <c r="K4" s="31">
        <v>24631</v>
      </c>
      <c r="L4" s="31">
        <v>25481</v>
      </c>
      <c r="M4" s="31">
        <v>24506</v>
      </c>
      <c r="N4" s="31">
        <v>24054</v>
      </c>
      <c r="O4" s="29">
        <f t="shared" si="0"/>
        <v>0.37592952751401443</v>
      </c>
      <c r="P4" s="29">
        <f t="shared" si="1"/>
        <v>4.3195420244600574E-2</v>
      </c>
    </row>
    <row r="5" spans="1:17" ht="18" customHeight="1">
      <c r="A5" s="185"/>
      <c r="B5" s="30" t="s">
        <v>191</v>
      </c>
      <c r="C5" s="31"/>
      <c r="D5" s="31">
        <v>4161</v>
      </c>
      <c r="E5" s="31">
        <v>4613</v>
      </c>
      <c r="F5" s="31">
        <v>4772</v>
      </c>
      <c r="G5" s="31">
        <v>5042</v>
      </c>
      <c r="H5" s="31">
        <v>4939</v>
      </c>
      <c r="I5" s="31">
        <v>5181</v>
      </c>
      <c r="J5" s="31">
        <v>5461</v>
      </c>
      <c r="K5" s="31">
        <v>6085</v>
      </c>
      <c r="L5" s="31">
        <v>6425</v>
      </c>
      <c r="M5" s="31">
        <v>6484</v>
      </c>
      <c r="N5" s="31">
        <v>6615</v>
      </c>
      <c r="O5" s="29">
        <f t="shared" si="0"/>
        <v>0.58976207642393652</v>
      </c>
      <c r="P5" s="29">
        <f t="shared" si="1"/>
        <v>0.21131660867972898</v>
      </c>
      <c r="Q5" s="32"/>
    </row>
    <row r="6" spans="1:17" ht="18" customHeight="1">
      <c r="A6" s="185"/>
      <c r="B6" s="30" t="s">
        <v>192</v>
      </c>
      <c r="C6" s="31"/>
      <c r="D6" s="31">
        <v>14432.849609375</v>
      </c>
      <c r="E6" s="31">
        <v>15646.0966796875</v>
      </c>
      <c r="F6" s="31">
        <v>16525.40234375</v>
      </c>
      <c r="G6" s="31">
        <v>17432.7421875</v>
      </c>
      <c r="H6" s="31">
        <v>17077.455078125</v>
      </c>
      <c r="I6" s="31">
        <v>17307.447265625</v>
      </c>
      <c r="J6" s="31">
        <v>18649.78125</v>
      </c>
      <c r="K6" s="31">
        <v>20079.62109375</v>
      </c>
      <c r="L6" s="31">
        <v>20896.19140625</v>
      </c>
      <c r="M6" s="31">
        <v>20216.869140625</v>
      </c>
      <c r="N6" s="31">
        <v>19886.6015625</v>
      </c>
      <c r="O6" s="29">
        <f t="shared" si="0"/>
        <v>0.37787076708555611</v>
      </c>
      <c r="P6" s="29">
        <f t="shared" si="1"/>
        <v>6.6318220890660584E-2</v>
      </c>
    </row>
    <row r="7" spans="1:17" ht="18" customHeight="1">
      <c r="A7" s="185"/>
      <c r="B7" s="30" t="s">
        <v>193</v>
      </c>
      <c r="C7" s="31"/>
      <c r="D7" s="31">
        <v>17678.470703125</v>
      </c>
      <c r="E7" s="31">
        <v>19385.208984375</v>
      </c>
      <c r="F7" s="31">
        <v>23598.138671875</v>
      </c>
      <c r="G7" s="31">
        <v>23128.52734375</v>
      </c>
      <c r="H7" s="31">
        <v>24740.69921875</v>
      </c>
      <c r="I7" s="31">
        <v>24254.369140625</v>
      </c>
      <c r="J7" s="31">
        <v>26264.751953125</v>
      </c>
      <c r="K7" s="31">
        <v>24732.650390625</v>
      </c>
      <c r="L7" s="31">
        <v>23432.009765625</v>
      </c>
      <c r="M7" s="31">
        <v>22573.75</v>
      </c>
      <c r="N7" s="31">
        <v>17904.19921875</v>
      </c>
      <c r="O7" s="29">
        <f t="shared" si="0"/>
        <v>1.2768554442047879E-2</v>
      </c>
      <c r="P7" s="29">
        <f t="shared" si="1"/>
        <v>-0.31831835873783132</v>
      </c>
    </row>
    <row r="8" spans="1:17" ht="18" customHeight="1">
      <c r="A8" s="185"/>
      <c r="B8" s="30" t="s">
        <v>194</v>
      </c>
      <c r="C8" s="33"/>
      <c r="D8" s="33">
        <f ca="1">31.382508*OFFSET(D$113,MATCH($N$1,$C$113:$C$114,0)-1,0)</f>
        <v>31.382508000000001</v>
      </c>
      <c r="E8" s="33">
        <f ca="1">36.704744*OFFSET(E$113,MATCH($N$1,$C$113:$C$114,0)-1,0)</f>
        <v>36.704743999999998</v>
      </c>
      <c r="F8" s="33">
        <f ca="1">43.743532*OFFSET(F$113,MATCH($N$1,$C$113:$C$114,0)-1,0)</f>
        <v>43.743532000000002</v>
      </c>
      <c r="G8" s="33">
        <f ca="1">42.365864*OFFSET(G$113,MATCH($N$1,$C$113:$C$114,0)-1,0)</f>
        <v>42.365864000000002</v>
      </c>
      <c r="H8" s="33">
        <f ca="1">47.80158*OFFSET(H$113,MATCH($N$1,$C$113:$C$114,0)-1,0)</f>
        <v>47.801580000000001</v>
      </c>
      <c r="I8" s="33">
        <f ca="1">52.056108*OFFSET(I$113,MATCH($N$1,$C$113:$C$114,0)-1,0)</f>
        <v>52.056108000000002</v>
      </c>
      <c r="J8" s="33">
        <f ca="1">63.760372*OFFSET(J$113,MATCH($N$1,$C$113:$C$114,0)-1,0)</f>
        <v>63.760371999999997</v>
      </c>
      <c r="K8" s="33">
        <f ca="1">63.673344*OFFSET(K$113,MATCH($N$1,$C$113:$C$114,0)-1,0)</f>
        <v>63.673344</v>
      </c>
      <c r="L8" s="33">
        <f ca="1">46.71286*OFFSET(L$113,MATCH($N$1,$C$113:$C$114,0)-1,0)</f>
        <v>46.712859999999999</v>
      </c>
      <c r="M8" s="33">
        <f ca="1">60.1734*OFFSET(M$113,MATCH($N$1,$C$113:$C$114,0)-1,0)</f>
        <v>60.173400000000001</v>
      </c>
      <c r="N8" s="33">
        <v>53.848427999999998</v>
      </c>
      <c r="O8" s="29">
        <f t="shared" ca="1" si="0"/>
        <v>0.71587395118325137</v>
      </c>
      <c r="P8" s="29">
        <f t="shared" ca="1" si="1"/>
        <v>-0.15545618209379328</v>
      </c>
    </row>
    <row r="9" spans="1:17" ht="18" customHeight="1">
      <c r="A9" s="185"/>
      <c r="B9" s="30" t="s">
        <v>195</v>
      </c>
      <c r="C9" s="31"/>
      <c r="D9" s="31">
        <v>13986</v>
      </c>
      <c r="E9" s="31">
        <v>14646</v>
      </c>
      <c r="F9" s="31">
        <v>16032</v>
      </c>
      <c r="G9" s="31">
        <v>16257</v>
      </c>
      <c r="H9" s="31">
        <v>16865</v>
      </c>
      <c r="I9" s="31">
        <v>17499</v>
      </c>
      <c r="J9" s="31">
        <v>18210</v>
      </c>
      <c r="K9" s="31">
        <v>19947</v>
      </c>
      <c r="L9" s="31">
        <v>19189</v>
      </c>
      <c r="M9" s="31">
        <v>19146</v>
      </c>
      <c r="N9" s="31">
        <v>17269</v>
      </c>
      <c r="O9" s="29">
        <f t="shared" si="0"/>
        <v>0.23473473473473475</v>
      </c>
      <c r="P9" s="29">
        <f t="shared" si="1"/>
        <v>-5.1674903898956619E-2</v>
      </c>
    </row>
    <row r="10" spans="1:17" ht="18" customHeight="1">
      <c r="A10" s="185"/>
      <c r="B10" s="30" t="s">
        <v>196</v>
      </c>
      <c r="C10" s="31"/>
      <c r="D10" s="31">
        <v>8659.35</v>
      </c>
      <c r="E10" s="31">
        <v>9158.1</v>
      </c>
      <c r="F10" s="31">
        <v>9973.35</v>
      </c>
      <c r="G10" s="31">
        <v>10278.450000000001</v>
      </c>
      <c r="H10" s="31">
        <v>10760.85</v>
      </c>
      <c r="I10" s="31">
        <v>11176.2</v>
      </c>
      <c r="J10" s="31">
        <v>11633.7</v>
      </c>
      <c r="K10" s="31">
        <v>12677.85</v>
      </c>
      <c r="L10" s="31">
        <v>12443.85</v>
      </c>
      <c r="M10" s="31">
        <v>12399.300000000001</v>
      </c>
      <c r="N10" s="31">
        <v>11251.5</v>
      </c>
      <c r="O10" s="29">
        <f t="shared" si="0"/>
        <v>0.29934694867397665</v>
      </c>
      <c r="P10" s="29">
        <f t="shared" si="1"/>
        <v>-3.2852832718739587E-2</v>
      </c>
    </row>
    <row r="11" spans="1:17" ht="18" customHeight="1">
      <c r="A11" s="185"/>
      <c r="B11" s="30" t="s">
        <v>197</v>
      </c>
      <c r="C11" s="31"/>
      <c r="D11" s="31">
        <v>449.19522094726563</v>
      </c>
      <c r="E11" s="31">
        <v>516.1412353515625</v>
      </c>
      <c r="F11" s="31">
        <v>549.2652587890625</v>
      </c>
      <c r="G11" s="31">
        <v>515.61114501953125</v>
      </c>
      <c r="H11" s="31">
        <v>673.12646484375</v>
      </c>
      <c r="I11" s="31">
        <v>610.65740966796875</v>
      </c>
      <c r="J11" s="31">
        <v>831.7860107421875</v>
      </c>
      <c r="K11" s="31">
        <v>712.6788330078125</v>
      </c>
      <c r="L11" s="31">
        <v>906.1328125</v>
      </c>
      <c r="M11" s="31">
        <v>660.552734375</v>
      </c>
      <c r="N11" s="31">
        <v>577.00335693359375</v>
      </c>
      <c r="O11" s="34">
        <f t="shared" si="0"/>
        <v>0.2845269273275115</v>
      </c>
      <c r="P11" s="34">
        <f t="shared" si="1"/>
        <v>-0.30630793319216298</v>
      </c>
    </row>
    <row r="12" spans="1:17" ht="18" customHeight="1">
      <c r="A12" s="186" t="s">
        <v>198</v>
      </c>
      <c r="B12" s="35" t="s">
        <v>199</v>
      </c>
      <c r="C12" s="36"/>
      <c r="D12" s="36">
        <v>15.138500213623047</v>
      </c>
      <c r="E12" s="36">
        <v>15.286744117736816</v>
      </c>
      <c r="F12" s="36">
        <v>15.316923141479492</v>
      </c>
      <c r="G12" s="36">
        <v>15.349263191223145</v>
      </c>
      <c r="H12" s="36">
        <v>15.307282447814941</v>
      </c>
      <c r="I12" s="36">
        <v>15.491428375244141</v>
      </c>
      <c r="J12" s="36">
        <v>15.430816650390625</v>
      </c>
      <c r="K12" s="36">
        <v>15.489333152770996</v>
      </c>
      <c r="L12" s="36">
        <v>15.455963134765625</v>
      </c>
      <c r="M12" s="36">
        <v>15.59211540222168</v>
      </c>
      <c r="N12" s="36">
        <v>15.67940616607666</v>
      </c>
      <c r="O12" s="29">
        <f t="shared" si="0"/>
        <v>3.5730484844651599E-2</v>
      </c>
      <c r="P12" s="29">
        <f t="shared" si="1"/>
        <v>1.6109939047182071E-2</v>
      </c>
    </row>
    <row r="13" spans="1:17" ht="18" customHeight="1">
      <c r="A13" s="187"/>
      <c r="B13" s="37" t="s">
        <v>190</v>
      </c>
      <c r="C13" s="31"/>
      <c r="D13" s="31">
        <v>218.52499389648438</v>
      </c>
      <c r="E13" s="31">
        <v>218.79069519042969</v>
      </c>
      <c r="F13" s="31">
        <v>221.010986328125</v>
      </c>
      <c r="G13" s="31">
        <v>225.53683471679688</v>
      </c>
      <c r="H13" s="31">
        <v>231.19564819335938</v>
      </c>
      <c r="I13" s="31">
        <v>234.60440063476563</v>
      </c>
      <c r="J13" s="31">
        <v>235.28572082519531</v>
      </c>
      <c r="K13" s="31">
        <v>234.58094787597656</v>
      </c>
      <c r="L13" s="31">
        <v>233.77064514160156</v>
      </c>
      <c r="M13" s="31">
        <v>235.63461303710938</v>
      </c>
      <c r="N13" s="31">
        <v>238.15841674804688</v>
      </c>
      <c r="O13" s="29">
        <f t="shared" si="0"/>
        <v>8.9845204896163419E-2</v>
      </c>
      <c r="P13" s="29">
        <f t="shared" si="1"/>
        <v>1.2209393382549644E-2</v>
      </c>
    </row>
    <row r="14" spans="1:17" ht="18" customHeight="1">
      <c r="A14" s="187"/>
      <c r="B14" s="37" t="s">
        <v>191</v>
      </c>
      <c r="C14" s="31"/>
      <c r="D14" s="31">
        <v>52.012500762939453</v>
      </c>
      <c r="E14" s="31">
        <v>53.639533996582031</v>
      </c>
      <c r="F14" s="31">
        <v>52.439559936523438</v>
      </c>
      <c r="G14" s="31">
        <v>53.073684692382813</v>
      </c>
      <c r="H14" s="31">
        <v>53.684783935546875</v>
      </c>
      <c r="I14" s="31">
        <v>56.934066772460938</v>
      </c>
      <c r="J14" s="31">
        <v>55.724491119384766</v>
      </c>
      <c r="K14" s="31">
        <v>57.952381134033203</v>
      </c>
      <c r="L14" s="31">
        <v>58.944953918457031</v>
      </c>
      <c r="M14" s="31">
        <v>62.346153259277344</v>
      </c>
      <c r="N14" s="31">
        <v>65.495048522949219</v>
      </c>
      <c r="O14" s="29">
        <f t="shared" si="0"/>
        <v>0.25921744892559573</v>
      </c>
      <c r="P14" s="29">
        <f t="shared" si="1"/>
        <v>0.17533686189492342</v>
      </c>
    </row>
    <row r="15" spans="1:17" ht="18" customHeight="1">
      <c r="A15" s="187"/>
      <c r="B15" s="37" t="s">
        <v>192</v>
      </c>
      <c r="C15" s="31"/>
      <c r="D15" s="31">
        <v>180.41061401367188</v>
      </c>
      <c r="E15" s="31">
        <v>181.93136596679688</v>
      </c>
      <c r="F15" s="31">
        <v>181.59782409667969</v>
      </c>
      <c r="G15" s="31">
        <v>183.50254821777344</v>
      </c>
      <c r="H15" s="31">
        <v>185.62451171875</v>
      </c>
      <c r="I15" s="31">
        <v>190.19172668457031</v>
      </c>
      <c r="J15" s="31">
        <v>190.30389404296875</v>
      </c>
      <c r="K15" s="31">
        <v>191.23448181152344</v>
      </c>
      <c r="L15" s="31">
        <v>191.70817565917969</v>
      </c>
      <c r="M15" s="31">
        <v>194.39297485351563</v>
      </c>
      <c r="N15" s="31">
        <v>196.89704895019531</v>
      </c>
      <c r="O15" s="29">
        <f t="shared" si="0"/>
        <v>9.1382843668355695E-2</v>
      </c>
      <c r="P15" s="29">
        <f t="shared" si="1"/>
        <v>3.4645401978678866E-2</v>
      </c>
    </row>
    <row r="16" spans="1:17" ht="18" customHeight="1">
      <c r="A16" s="187"/>
      <c r="B16" s="37" t="s">
        <v>193</v>
      </c>
      <c r="C16" s="33"/>
      <c r="D16" s="33">
        <v>220.98088073730469</v>
      </c>
      <c r="E16" s="33">
        <v>225.40939331054688</v>
      </c>
      <c r="F16" s="33">
        <v>259.3201904296875</v>
      </c>
      <c r="G16" s="33">
        <v>243.45817565917969</v>
      </c>
      <c r="H16" s="33">
        <v>268.920654296875</v>
      </c>
      <c r="I16" s="33">
        <v>266.53152465820313</v>
      </c>
      <c r="J16" s="33">
        <v>268.0076904296875</v>
      </c>
      <c r="K16" s="33">
        <v>235.54905700683594</v>
      </c>
      <c r="L16" s="33">
        <v>214.97256469726563</v>
      </c>
      <c r="M16" s="33">
        <v>217.05528259277344</v>
      </c>
      <c r="N16" s="33">
        <v>177.26930236816406</v>
      </c>
      <c r="O16" s="29">
        <f t="shared" si="0"/>
        <v>-0.19780706015514352</v>
      </c>
      <c r="P16" s="29">
        <f t="shared" si="1"/>
        <v>-0.338566359480378</v>
      </c>
    </row>
    <row r="17" spans="1:16" ht="18" customHeight="1">
      <c r="A17" s="187"/>
      <c r="B17" s="37" t="s">
        <v>200</v>
      </c>
      <c r="C17" s="33"/>
      <c r="D17" s="33">
        <f ca="1">392.28134375*OFFSET(D$113,MATCH($N$1,$C$113:$C$114,0)-1,0)</f>
        <v>392.28134375000002</v>
      </c>
      <c r="E17" s="33">
        <f ca="1">426.799375*OFFSET(E$113,MATCH($N$1,$C$113:$C$114,0)-1,0)</f>
        <v>426.799375</v>
      </c>
      <c r="F17" s="33">
        <f ca="1">480.69815625*OFFSET(F$113,MATCH($N$1,$C$113:$C$114,0)-1,0)</f>
        <v>480.69815625000001</v>
      </c>
      <c r="G17" s="33">
        <f ca="1">445.95646875*OFFSET(G$113,MATCH($N$1,$C$113:$C$114,0)-1,0)</f>
        <v>445.95646875</v>
      </c>
      <c r="H17" s="33">
        <f ca="1">519.582375*OFFSET(H$113,MATCH($N$1,$C$113:$C$114,0)-1,0)</f>
        <v>519.58237499999996</v>
      </c>
      <c r="I17" s="33">
        <f ca="1">572.0451875*OFFSET(I$113,MATCH($N$1,$C$113:$C$114,0)-1,0)</f>
        <v>572.0451875</v>
      </c>
      <c r="J17" s="33">
        <f ca="1">650.6160625*OFFSET(J$113,MATCH($N$1,$C$113:$C$114,0)-1,0)</f>
        <v>650.6160625</v>
      </c>
      <c r="K17" s="33">
        <f ca="1">606.4128125*OFFSET(K$113,MATCH($N$1,$C$113:$C$114,0)-1,0)</f>
        <v>606.41281249999997</v>
      </c>
      <c r="L17" s="33">
        <f ca="1">428.55834375*OFFSET(L$113,MATCH($N$1,$C$113:$C$114,0)-1,0)</f>
        <v>428.55834375000001</v>
      </c>
      <c r="M17" s="33">
        <f ca="1">578.590375*OFFSET(M$113,MATCH($N$1,$C$113:$C$114,0)-1,0)</f>
        <v>578.59037499999999</v>
      </c>
      <c r="N17" s="33">
        <v>533.15274999999997</v>
      </c>
      <c r="O17" s="29">
        <f t="shared" ca="1" si="0"/>
        <v>0.35910809548918282</v>
      </c>
      <c r="P17" s="29">
        <f t="shared" ca="1" si="1"/>
        <v>-0.18054167314690303</v>
      </c>
    </row>
    <row r="18" spans="1:16" ht="18" customHeight="1">
      <c r="A18" s="187"/>
      <c r="B18" s="37" t="s">
        <v>195</v>
      </c>
      <c r="C18" s="31"/>
      <c r="D18" s="31">
        <v>174.82499694824219</v>
      </c>
      <c r="E18" s="31">
        <v>170.30232238769531</v>
      </c>
      <c r="F18" s="31">
        <v>176.17582702636719</v>
      </c>
      <c r="G18" s="31">
        <v>171.12631225585938</v>
      </c>
      <c r="H18" s="31">
        <v>183.31521606445313</v>
      </c>
      <c r="I18" s="31">
        <v>192.29670715332031</v>
      </c>
      <c r="J18" s="31">
        <v>185.81632995605469</v>
      </c>
      <c r="K18" s="31">
        <v>189.971435546875</v>
      </c>
      <c r="L18" s="31">
        <v>176.04586791992188</v>
      </c>
      <c r="M18" s="31">
        <v>184.09616088867188</v>
      </c>
      <c r="N18" s="31">
        <v>170.98019409179688</v>
      </c>
      <c r="O18" s="29">
        <f t="shared" si="0"/>
        <v>-2.1992294715060604E-2</v>
      </c>
      <c r="P18" s="29">
        <f t="shared" si="1"/>
        <v>-7.9843014162245804E-2</v>
      </c>
    </row>
    <row r="19" spans="1:16" ht="18" customHeight="1">
      <c r="A19" s="187"/>
      <c r="B19" s="37" t="s">
        <v>201</v>
      </c>
      <c r="C19" s="31"/>
      <c r="D19" s="31">
        <v>27.387500762939453</v>
      </c>
      <c r="E19" s="31">
        <v>28.511627197265625</v>
      </c>
      <c r="F19" s="31">
        <v>29.681318283081055</v>
      </c>
      <c r="G19" s="31">
        <v>29.347368240356445</v>
      </c>
      <c r="H19" s="31">
        <v>28.663043975830078</v>
      </c>
      <c r="I19" s="31">
        <v>29.186813354492188</v>
      </c>
      <c r="J19" s="31">
        <v>29.26530647277832</v>
      </c>
      <c r="K19" s="31">
        <v>29.238094329833984</v>
      </c>
      <c r="L19" s="31">
        <v>28</v>
      </c>
      <c r="M19" s="31">
        <v>27.884614944458008</v>
      </c>
      <c r="N19" s="31">
        <v>27.900989532470703</v>
      </c>
      <c r="O19" s="29">
        <f t="shared" si="0"/>
        <v>1.8749018903765725E-2</v>
      </c>
      <c r="P19" s="29">
        <f t="shared" si="1"/>
        <v>-4.6618918601678147E-2</v>
      </c>
    </row>
    <row r="20" spans="1:16" ht="18" customHeight="1">
      <c r="A20" s="187"/>
      <c r="B20" s="37" t="s">
        <v>202</v>
      </c>
      <c r="C20" s="38"/>
      <c r="D20" s="38">
        <v>1.2640119791030884</v>
      </c>
      <c r="E20" s="38">
        <v>1.3235838413238525</v>
      </c>
      <c r="F20" s="38">
        <v>1.4719396829605103</v>
      </c>
      <c r="G20" s="38">
        <v>1.4226810932159424</v>
      </c>
      <c r="H20" s="38">
        <v>1.4669848680496216</v>
      </c>
      <c r="I20" s="38">
        <v>1.3860430717468262</v>
      </c>
      <c r="J20" s="38">
        <v>1.4423258304595947</v>
      </c>
      <c r="K20" s="38">
        <v>1.2399182319641113</v>
      </c>
      <c r="L20" s="38">
        <v>1.2211167812347412</v>
      </c>
      <c r="M20" s="38">
        <v>1.1790320873260498</v>
      </c>
      <c r="N20" s="38">
        <v>1.0367826223373413</v>
      </c>
      <c r="O20" s="29">
        <f t="shared" si="0"/>
        <v>-0.17976835704277375</v>
      </c>
      <c r="P20" s="29">
        <f t="shared" si="1"/>
        <v>-0.28117308832569943</v>
      </c>
    </row>
    <row r="21" spans="1:16" ht="18" customHeight="1">
      <c r="A21" s="188"/>
      <c r="B21" s="39" t="s">
        <v>203</v>
      </c>
      <c r="C21" s="40"/>
      <c r="D21" s="40">
        <f ca="1">1775*OFFSET(D$113,MATCH($N$1,$C$113:$C$114,0)-1,0)</f>
        <v>1775</v>
      </c>
      <c r="E21" s="40">
        <f ca="1">1893*OFFSET(E$113,MATCH($N$1,$C$113:$C$114,0)-1,0)</f>
        <v>1893</v>
      </c>
      <c r="F21" s="40">
        <f ca="1">1854*OFFSET(F$113,MATCH($N$1,$C$113:$C$114,0)-1,0)</f>
        <v>1854</v>
      </c>
      <c r="G21" s="40">
        <f ca="1">1832*OFFSET(G$113,MATCH($N$1,$C$113:$C$114,0)-1,0)</f>
        <v>1832</v>
      </c>
      <c r="H21" s="40">
        <f ca="1">1932*OFFSET(H$113,MATCH($N$1,$C$113:$C$114,0)-1,0)</f>
        <v>1932</v>
      </c>
      <c r="I21" s="40">
        <f ca="1">2146*OFFSET(I$113,MATCH($N$1,$C$113:$C$114,0)-1,0)</f>
        <v>2146</v>
      </c>
      <c r="J21" s="40">
        <f ca="1">2428*OFFSET(J$113,MATCH($N$1,$C$113:$C$114,0)-1,0)</f>
        <v>2428</v>
      </c>
      <c r="K21" s="40">
        <f ca="1">2574*OFFSET(K$113,MATCH($N$1,$C$113:$C$114,0)-1,0)</f>
        <v>2574</v>
      </c>
      <c r="L21" s="40">
        <f ca="1">1994*OFFSET(L$113,MATCH($N$1,$C$113:$C$114,0)-1,0)</f>
        <v>1994</v>
      </c>
      <c r="M21" s="40">
        <f ca="1">2666*OFFSET(M$113,MATCH($N$1,$C$113:$C$114,0)-1,0)</f>
        <v>2666</v>
      </c>
      <c r="N21" s="40">
        <v>3008</v>
      </c>
      <c r="O21" s="34">
        <f t="shared" ca="1" si="0"/>
        <v>0.69464788732394367</v>
      </c>
      <c r="P21" s="34">
        <f t="shared" ca="1" si="1"/>
        <v>0.23887973640856672</v>
      </c>
    </row>
    <row r="22" spans="1:16" ht="18" customHeight="1">
      <c r="A22" s="189" t="s">
        <v>204</v>
      </c>
      <c r="B22" s="35" t="s">
        <v>205</v>
      </c>
      <c r="C22" s="41"/>
      <c r="D22" s="41">
        <v>5.430499599920056</v>
      </c>
      <c r="E22" s="41">
        <v>5.6415424518585287</v>
      </c>
      <c r="F22" s="41">
        <v>6.2666534463306274</v>
      </c>
      <c r="G22" s="41">
        <v>5.9638409662085046</v>
      </c>
      <c r="H22" s="41">
        <v>5.9470561964116566</v>
      </c>
      <c r="I22" s="41">
        <v>5.6220336751906181</v>
      </c>
      <c r="J22" s="41">
        <v>5.7578624104398548</v>
      </c>
      <c r="K22" s="41">
        <v>5.0093422614893974</v>
      </c>
      <c r="L22" s="41">
        <v>4.8249523043358833</v>
      </c>
      <c r="M22" s="41">
        <v>4.6480015759087863</v>
      </c>
      <c r="N22" s="41">
        <v>4.0218295742310826</v>
      </c>
      <c r="O22" s="29">
        <f t="shared" si="0"/>
        <v>-0.25939971079451157</v>
      </c>
      <c r="P22" s="29">
        <f t="shared" si="1"/>
        <v>-0.30150648147845427</v>
      </c>
    </row>
    <row r="23" spans="1:16" ht="18" customHeight="1">
      <c r="A23" s="189"/>
      <c r="B23" s="37" t="s">
        <v>206</v>
      </c>
      <c r="C23" s="38"/>
      <c r="D23" s="38">
        <f ca="1">9.64012666246404*OFFSET(D$113,MATCH($N$1,$C$113:$C$114,0)-1,0)</f>
        <v>9.6401266624640396</v>
      </c>
      <c r="E23" s="38">
        <f ca="1">10.6819274792686*OFFSET(E$113,MATCH($N$1,$C$113:$C$114,0)-1,0)</f>
        <v>10.6819274792686</v>
      </c>
      <c r="F23" s="38">
        <f ca="1">11.6164065455814*OFFSET(F$113,MATCH($N$1,$C$113:$C$114,0)-1,0)</f>
        <v>11.6164065455814</v>
      </c>
      <c r="G23" s="38">
        <f ca="1">10.9243135921636*OFFSET(G$113,MATCH($N$1,$C$113:$C$114,0)-1,0)</f>
        <v>10.9243135921636</v>
      </c>
      <c r="H23" s="38">
        <f ca="1">11.4903245006196*OFFSET(H$113,MATCH($N$1,$C$113:$C$114,0)-1,0)</f>
        <v>11.4903245006196</v>
      </c>
      <c r="I23" s="38">
        <f ca="1">12.0663299096794*OFFSET(I$113,MATCH($N$1,$C$113:$C$114,0)-1,0)</f>
        <v>12.0663299096794</v>
      </c>
      <c r="J23" s="38">
        <f ca="1">13.9777995321367*OFFSET(J$113,MATCH($N$1,$C$113:$C$114,0)-1,0)</f>
        <v>13.9777995321367</v>
      </c>
      <c r="K23" s="38">
        <f ca="1">12.8963765262569*OFFSET(K$113,MATCH($N$1,$C$113:$C$114,0)-1,0)</f>
        <v>12.896376526256899</v>
      </c>
      <c r="L23" s="38">
        <f ca="1">9.61877889455739*OFFSET(L$113,MATCH($N$1,$C$113:$C$114,0)-1,0)</f>
        <v>9.6187788945573907</v>
      </c>
      <c r="M23" s="38">
        <f ca="1">12.3898803230288*OFFSET(M$113,MATCH($N$1,$C$113:$C$114,0)-1,0)</f>
        <v>12.3898803230288</v>
      </c>
      <c r="N23" s="38">
        <v>12.096000090750728</v>
      </c>
      <c r="O23" s="29">
        <f t="shared" ca="1" si="0"/>
        <v>0.25475530709043204</v>
      </c>
      <c r="P23" s="29">
        <f t="shared" ca="1" si="1"/>
        <v>-0.13462773142936277</v>
      </c>
    </row>
    <row r="24" spans="1:16" ht="18" customHeight="1">
      <c r="A24" s="189"/>
      <c r="B24" s="37" t="s">
        <v>153</v>
      </c>
      <c r="C24" s="38"/>
      <c r="D24" s="38">
        <f ca="1">8.89054238946721*OFFSET(D$113,MATCH($N$1,$C$113:$C$114,0)-1,0)</f>
        <v>8.8905423894672104</v>
      </c>
      <c r="E24" s="38">
        <f ca="1">9.39439887428826*OFFSET(E$113,MATCH($N$1,$C$113:$C$114,0)-1,0)</f>
        <v>9.3943988742882603</v>
      </c>
      <c r="F24" s="38">
        <f ca="1">9.72805211823672*OFFSET(F$113,MATCH($N$1,$C$113:$C$114,0)-1,0)</f>
        <v>9.7280521182367199</v>
      </c>
      <c r="G24" s="38">
        <f ca="1">8.95411476299429*OFFSET(G$113,MATCH($N$1,$C$113:$C$114,0)-1,0)</f>
        <v>8.9541147629942905</v>
      </c>
      <c r="H24" s="38">
        <f ca="1">9.02308567785596*OFFSET(H$113,MATCH($N$1,$C$113:$C$114,0)-1,0)</f>
        <v>9.0230856778559598</v>
      </c>
      <c r="I24" s="38">
        <f ca="1">10.1369196804429*OFFSET(I$113,MATCH($N$1,$C$113:$C$114,0)-1,0)</f>
        <v>10.136919680442899</v>
      </c>
      <c r="J24" s="38">
        <f ca="1">11.1456195621387*OFFSET(J$113,MATCH($N$1,$C$113:$C$114,0)-1,0)</f>
        <v>11.1456195621387</v>
      </c>
      <c r="K24" s="38">
        <f ca="1">10.2475250921694*OFFSET(K$113,MATCH($N$1,$C$113:$C$114,0)-1,0)</f>
        <v>10.247525092169401</v>
      </c>
      <c r="L24" s="38">
        <f ca="1">8.46726640248201*OFFSET(L$113,MATCH($N$1,$C$113:$C$114,0)-1,0)</f>
        <v>8.4672664024820108</v>
      </c>
      <c r="M24" s="38">
        <f ca="1">10.1039392972625*OFFSET(M$113,MATCH($N$1,$C$113:$C$114,0)-1,0)</f>
        <v>10.1039392972625</v>
      </c>
      <c r="N24" s="38">
        <v>10.344739018984626</v>
      </c>
      <c r="O24" s="29">
        <f t="shared" ca="1" si="0"/>
        <v>0.16356669433804502</v>
      </c>
      <c r="P24" s="29">
        <f t="shared" ca="1" si="1"/>
        <v>-7.1856081098859562E-2</v>
      </c>
    </row>
    <row r="25" spans="1:16" ht="18" customHeight="1">
      <c r="A25" s="189"/>
      <c r="B25" s="37" t="s">
        <v>154</v>
      </c>
      <c r="C25" s="38"/>
      <c r="D25" s="38">
        <f ca="1">2.11344981848931*OFFSET(D$113,MATCH($N$1,$C$113:$C$114,0)-1,0)</f>
        <v>2.1134498184893098</v>
      </c>
      <c r="E25" s="38">
        <f ca="1">1.94472100691486*OFFSET(E$113,MATCH($N$1,$C$113:$C$114,0)-1,0)</f>
        <v>1.9447210069148599</v>
      </c>
      <c r="F25" s="38">
        <f ca="1">2.47890353430887*OFFSET(F$113,MATCH($N$1,$C$113:$C$114,0)-1,0)</f>
        <v>2.4789035343088699</v>
      </c>
      <c r="G25" s="38">
        <f ca="1">2.55249853859073*OFFSET(G$113,MATCH($N$1,$C$113:$C$114,0)-1,0)</f>
        <v>2.5524985385907302</v>
      </c>
      <c r="H25" s="38">
        <f ca="1">2.71516621105822*OFFSET(H$113,MATCH($N$1,$C$113:$C$114,0)-1,0)</f>
        <v>2.7151662110582202</v>
      </c>
      <c r="I25" s="38">
        <f ca="1">3.51589224809101*OFFSET(I$113,MATCH($N$1,$C$113:$C$114,0)-1,0)</f>
        <v>3.51589224809101</v>
      </c>
      <c r="J25" s="38">
        <f ca="1">3.24916600753197*OFFSET(J$113,MATCH($N$1,$C$113:$C$114,0)-1,0)</f>
        <v>3.2491660075319699</v>
      </c>
      <c r="K25" s="38">
        <f ca="1">3.05439513790932*OFFSET(K$113,MATCH($N$1,$C$113:$C$114,0)-1,0)</f>
        <v>3.0543951379093199</v>
      </c>
      <c r="L25" s="38">
        <f ca="1">2.11120847777964*OFFSET(L$113,MATCH($N$1,$C$113:$C$114,0)-1,0)</f>
        <v>2.1112084777796398</v>
      </c>
      <c r="M25" s="38">
        <f ca="1">2.60523580057229*OFFSET(M$113,MATCH($N$1,$C$113:$C$114,0)-1,0)</f>
        <v>2.6052358005722902</v>
      </c>
      <c r="N25" s="38">
        <v>2.0148008765953165</v>
      </c>
      <c r="O25" s="29">
        <f t="shared" ca="1" si="0"/>
        <v>-4.6676737261974549E-2</v>
      </c>
      <c r="P25" s="29">
        <f t="shared" ca="1" si="1"/>
        <v>-0.37990214352705953</v>
      </c>
    </row>
    <row r="26" spans="1:16" ht="18" customHeight="1">
      <c r="A26" s="189"/>
      <c r="B26" s="37" t="s">
        <v>207</v>
      </c>
      <c r="C26" s="33"/>
      <c r="D26" s="33">
        <f ca="1">69.87*OFFSET(D$113,MATCH($N$1,$C$113:$C$114,0)-1,0)</f>
        <v>69.87</v>
      </c>
      <c r="E26" s="33">
        <f ca="1">71.11*OFFSET(E$113,MATCH($N$1,$C$113:$C$114,0)-1,0)</f>
        <v>71.11</v>
      </c>
      <c r="F26" s="33">
        <f ca="1">79.64*OFFSET(F$113,MATCH($N$1,$C$113:$C$114,0)-1,0)</f>
        <v>79.64</v>
      </c>
      <c r="G26" s="33">
        <f ca="1">82.17*OFFSET(G$113,MATCH($N$1,$C$113:$C$114,0)-1,0)</f>
        <v>82.17</v>
      </c>
      <c r="H26" s="33">
        <f ca="1">71.02*OFFSET(H$113,MATCH($N$1,$C$113:$C$114,0)-1,0)</f>
        <v>71.02</v>
      </c>
      <c r="I26" s="33">
        <f ca="1">85.24*OFFSET(I$113,MATCH($N$1,$C$113:$C$114,0)-1,0)</f>
        <v>85.24</v>
      </c>
      <c r="J26" s="33">
        <f ca="1">76.65*OFFSET(J$113,MATCH($N$1,$C$113:$C$114,0)-1,0)</f>
        <v>76.650000000000006</v>
      </c>
      <c r="K26" s="33">
        <f ca="1">89.34*OFFSET(K$113,MATCH($N$1,$C$113:$C$114,0)-1,0)</f>
        <v>89.34</v>
      </c>
      <c r="L26" s="33">
        <f ca="1">51.56*OFFSET(L$113,MATCH($N$1,$C$113:$C$114,0)-1,0)</f>
        <v>51.56</v>
      </c>
      <c r="M26" s="33">
        <f ca="1">91.1*OFFSET(M$113,MATCH($N$1,$C$113:$C$114,0)-1,0)</f>
        <v>91.1</v>
      </c>
      <c r="N26" s="33">
        <v>93.33</v>
      </c>
      <c r="O26" s="29">
        <f t="shared" ca="1" si="0"/>
        <v>0.3357664233576641</v>
      </c>
      <c r="P26" s="29">
        <f t="shared" ca="1" si="1"/>
        <v>0.21761252446183943</v>
      </c>
    </row>
    <row r="27" spans="1:16" ht="18" customHeight="1">
      <c r="A27" s="190"/>
      <c r="B27" s="37" t="s">
        <v>208</v>
      </c>
      <c r="C27" s="33"/>
      <c r="D27" s="33">
        <f ca="1">15.32*OFFSET(D$113,MATCH($N$1,$C$113:$C$114,0)-1,0)</f>
        <v>15.32</v>
      </c>
      <c r="E27" s="33">
        <f ca="1">12.95*OFFSET(E$113,MATCH($N$1,$C$113:$C$114,0)-1,0)</f>
        <v>12.95</v>
      </c>
      <c r="F27" s="33">
        <f ca="1">17*OFFSET(F$113,MATCH($N$1,$C$113:$C$114,0)-1,0)</f>
        <v>17</v>
      </c>
      <c r="G27" s="33">
        <f ca="1">19.2*OFFSET(G$113,MATCH($N$1,$C$113:$C$114,0)-1,0)</f>
        <v>19.2</v>
      </c>
      <c r="H27" s="33">
        <f ca="1">16.78*OFFSET(H$113,MATCH($N$1,$C$113:$C$114,0)-1,0)</f>
        <v>16.78</v>
      </c>
      <c r="I27" s="33">
        <f ca="1">24.84*OFFSET(I$113,MATCH($N$1,$C$113:$C$114,0)-1,0)</f>
        <v>24.84</v>
      </c>
      <c r="J27" s="33">
        <f ca="1">17.81*OFFSET(J$113,MATCH($N$1,$C$113:$C$114,0)-1,0)</f>
        <v>17.809999999999999</v>
      </c>
      <c r="K27" s="33">
        <f ca="1">21.16*OFFSET(K$113,MATCH($N$1,$C$113:$C$114,0)-1,0)</f>
        <v>21.16</v>
      </c>
      <c r="L27" s="33">
        <f ca="1">11.32*OFFSET(L$113,MATCH($N$1,$C$113:$C$114,0)-1,0)</f>
        <v>11.32</v>
      </c>
      <c r="M27" s="33">
        <f ca="1">19.16*OFFSET(M$113,MATCH($N$1,$C$113:$C$114,0)-1,0)</f>
        <v>19.16</v>
      </c>
      <c r="N27" s="33">
        <v>15.54</v>
      </c>
      <c r="O27" s="34">
        <f t="shared" ca="1" si="0"/>
        <v>1.4360313315926819E-2</v>
      </c>
      <c r="P27" s="34">
        <f t="shared" ca="1" si="1"/>
        <v>-0.12745648512071869</v>
      </c>
    </row>
    <row r="28" spans="1:16" s="78" customFormat="1" ht="18" customHeight="1">
      <c r="A28" s="191" t="s">
        <v>209</v>
      </c>
      <c r="B28" s="82" t="s">
        <v>200</v>
      </c>
      <c r="C28" s="83"/>
      <c r="D28" s="83">
        <f ca="1">392.3*OFFSET(D$113,MATCH($N$1,$C$113:$C$114,0)-1,0)</f>
        <v>392.3</v>
      </c>
      <c r="E28" s="83">
        <f ca="1">426.8*OFFSET(E$113,MATCH($N$1,$C$113:$C$114,0)-1,0)</f>
        <v>426.8</v>
      </c>
      <c r="F28" s="83">
        <f ca="1">480.7*OFFSET(F$113,MATCH($N$1,$C$113:$C$114,0)-1,0)</f>
        <v>480.7</v>
      </c>
      <c r="G28" s="83">
        <f ca="1">446*OFFSET(G$113,MATCH($N$1,$C$113:$C$114,0)-1,0)</f>
        <v>446</v>
      </c>
      <c r="H28" s="83">
        <f ca="1">519.6*OFFSET(H$113,MATCH($N$1,$C$113:$C$114,0)-1,0)</f>
        <v>519.6</v>
      </c>
      <c r="I28" s="83">
        <f ca="1">572*OFFSET(I$113,MATCH($N$1,$C$113:$C$114,0)-1,0)</f>
        <v>572</v>
      </c>
      <c r="J28" s="83">
        <f ca="1">650.6*OFFSET(J$113,MATCH($N$1,$C$113:$C$114,0)-1,0)</f>
        <v>650.6</v>
      </c>
      <c r="K28" s="83">
        <f ca="1">606.4*OFFSET(K$113,MATCH($N$1,$C$113:$C$114,0)-1,0)</f>
        <v>606.4</v>
      </c>
      <c r="L28" s="83">
        <f ca="1">428.6*OFFSET(L$113,MATCH($N$1,$C$113:$C$114,0)-1,0)</f>
        <v>428.6</v>
      </c>
      <c r="M28" s="83">
        <f ca="1">578.6*OFFSET(M$113,MATCH($N$1,$C$113:$C$114,0)-1,0)</f>
        <v>578.6</v>
      </c>
      <c r="N28" s="83">
        <v>533.20000000000005</v>
      </c>
      <c r="O28" s="84">
        <f t="shared" ca="1" si="0"/>
        <v>0.35916390517461133</v>
      </c>
      <c r="P28" s="84">
        <f t="shared" ca="1" si="1"/>
        <v>-0.18044881647709801</v>
      </c>
    </row>
    <row r="29" spans="1:16" s="78" customFormat="1" ht="18" customHeight="1">
      <c r="A29" s="192"/>
      <c r="B29" s="85" t="s">
        <v>210</v>
      </c>
      <c r="C29" s="86"/>
      <c r="D29" s="86">
        <f ca="1">55.5*OFFSET(D$113,MATCH($N$1,$C$113:$C$114,0)-1,0)</f>
        <v>55.5</v>
      </c>
      <c r="E29" s="86">
        <f ca="1">26.3*OFFSET(E$113,MATCH($N$1,$C$113:$C$114,0)-1,0)</f>
        <v>26.3</v>
      </c>
      <c r="F29" s="86">
        <f ca="1">24.4*OFFSET(F$113,MATCH($N$1,$C$113:$C$114,0)-1,0)</f>
        <v>24.4</v>
      </c>
      <c r="G29" s="86">
        <f ca="1">23.8*OFFSET(G$113,MATCH($N$1,$C$113:$C$114,0)-1,0)</f>
        <v>23.8</v>
      </c>
      <c r="H29" s="86">
        <f ca="1">11.2*OFFSET(H$113,MATCH($N$1,$C$113:$C$114,0)-1,0)</f>
        <v>11.2</v>
      </c>
      <c r="I29" s="86">
        <f ca="1">75.2*OFFSET(I$113,MATCH($N$1,$C$113:$C$114,0)-1,0)</f>
        <v>75.2</v>
      </c>
      <c r="J29" s="86">
        <f ca="1">19.4*OFFSET(J$113,MATCH($N$1,$C$113:$C$114,0)-1,0)</f>
        <v>19.399999999999999</v>
      </c>
      <c r="K29" s="86">
        <f ca="1">19.1*OFFSET(K$113,MATCH($N$1,$C$113:$C$114,0)-1,0)</f>
        <v>19.100000000000001</v>
      </c>
      <c r="L29" s="86">
        <f ca="1">42.8*OFFSET(L$113,MATCH($N$1,$C$113:$C$114,0)-1,0)</f>
        <v>42.8</v>
      </c>
      <c r="M29" s="86">
        <f ca="1">14.9*OFFSET(M$113,MATCH($N$1,$C$113:$C$114,0)-1,0)</f>
        <v>14.9</v>
      </c>
      <c r="N29" s="86">
        <v>11.6</v>
      </c>
      <c r="O29" s="84">
        <f t="shared" ca="1" si="0"/>
        <v>-0.79099099099099102</v>
      </c>
      <c r="P29" s="84">
        <f t="shared" ca="1" si="1"/>
        <v>-0.40206185567010305</v>
      </c>
    </row>
    <row r="30" spans="1:16" s="78" customFormat="1" ht="18" customHeight="1">
      <c r="A30" s="192"/>
      <c r="B30" s="87" t="s">
        <v>211</v>
      </c>
      <c r="C30" s="88"/>
      <c r="D30" s="88">
        <f ca="1">447.8*OFFSET(D$113,MATCH($N$1,$C$113:$C$114,0)-1,0)</f>
        <v>447.8</v>
      </c>
      <c r="E30" s="88">
        <f ca="1">453.1*OFFSET(E$113,MATCH($N$1,$C$113:$C$114,0)-1,0)</f>
        <v>453.1</v>
      </c>
      <c r="F30" s="88">
        <f ca="1">505.1*OFFSET(F$113,MATCH($N$1,$C$113:$C$114,0)-1,0)</f>
        <v>505.1</v>
      </c>
      <c r="G30" s="88">
        <f ca="1">469.7*OFFSET(G$113,MATCH($N$1,$C$113:$C$114,0)-1,0)</f>
        <v>469.7</v>
      </c>
      <c r="H30" s="88">
        <f ca="1">530.8*OFFSET(H$113,MATCH($N$1,$C$113:$C$114,0)-1,0)</f>
        <v>530.79999999999995</v>
      </c>
      <c r="I30" s="88">
        <f ca="1">647.3*OFFSET(I$113,MATCH($N$1,$C$113:$C$114,0)-1,0)</f>
        <v>647.29999999999995</v>
      </c>
      <c r="J30" s="88">
        <f ca="1">670*OFFSET(J$113,MATCH($N$1,$C$113:$C$114,0)-1,0)</f>
        <v>670</v>
      </c>
      <c r="K30" s="88">
        <f ca="1">625.5*OFFSET(K$113,MATCH($N$1,$C$113:$C$114,0)-1,0)</f>
        <v>625.5</v>
      </c>
      <c r="L30" s="88">
        <f ca="1">471.3*OFFSET(L$113,MATCH($N$1,$C$113:$C$114,0)-1,0)</f>
        <v>471.3</v>
      </c>
      <c r="M30" s="88">
        <f ca="1">593.5*OFFSET(M$113,MATCH($N$1,$C$113:$C$114,0)-1,0)</f>
        <v>593.5</v>
      </c>
      <c r="N30" s="88">
        <v>544.79999999999995</v>
      </c>
      <c r="O30" s="84">
        <f t="shared" ca="1" si="0"/>
        <v>0.21661456007146035</v>
      </c>
      <c r="P30" s="84">
        <f t="shared" ca="1" si="1"/>
        <v>-0.1868656716417911</v>
      </c>
    </row>
    <row r="31" spans="1:16" s="78" customFormat="1" ht="18" customHeight="1">
      <c r="A31" s="192"/>
      <c r="B31" s="85" t="s">
        <v>212</v>
      </c>
      <c r="C31" s="86"/>
      <c r="D31" s="86">
        <f ca="1">76.4*OFFSET(D$113,MATCH($N$1,$C$113:$C$114,0)-1,0)</f>
        <v>76.400000000000006</v>
      </c>
      <c r="E31" s="86">
        <f ca="1">71.8*OFFSET(E$113,MATCH($N$1,$C$113:$C$114,0)-1,0)</f>
        <v>71.8</v>
      </c>
      <c r="F31" s="86">
        <f ca="1">66.7*OFFSET(F$113,MATCH($N$1,$C$113:$C$114,0)-1,0)</f>
        <v>66.7</v>
      </c>
      <c r="G31" s="86">
        <f ca="1">45.5*OFFSET(G$113,MATCH($N$1,$C$113:$C$114,0)-1,0)</f>
        <v>45.5</v>
      </c>
      <c r="H31" s="86">
        <f ca="1">46.8*OFFSET(H$113,MATCH($N$1,$C$113:$C$114,0)-1,0)</f>
        <v>46.8</v>
      </c>
      <c r="I31" s="86">
        <f ca="1">59*OFFSET(I$113,MATCH($N$1,$C$113:$C$114,0)-1,0)</f>
        <v>59</v>
      </c>
      <c r="J31" s="86">
        <f ca="1">68.5*OFFSET(J$113,MATCH($N$1,$C$113:$C$114,0)-1,0)</f>
        <v>68.5</v>
      </c>
      <c r="K31" s="86">
        <f ca="1">66.5*OFFSET(K$113,MATCH($N$1,$C$113:$C$114,0)-1,0)</f>
        <v>66.5</v>
      </c>
      <c r="L31" s="86">
        <f ca="1">43.7*OFFSET(L$113,MATCH($N$1,$C$113:$C$114,0)-1,0)</f>
        <v>43.7</v>
      </c>
      <c r="M31" s="86">
        <f ca="1">57.1*OFFSET(M$113,MATCH($N$1,$C$113:$C$114,0)-1,0)</f>
        <v>57.1</v>
      </c>
      <c r="N31" s="86">
        <v>93.9</v>
      </c>
      <c r="O31" s="84">
        <f t="shared" ca="1" si="0"/>
        <v>0.22905759162303663</v>
      </c>
      <c r="P31" s="84">
        <f t="shared" ca="1" si="1"/>
        <v>0.37080291970802925</v>
      </c>
    </row>
    <row r="32" spans="1:16" s="78" customFormat="1" ht="18" customHeight="1">
      <c r="A32" s="192"/>
      <c r="B32" s="85" t="s">
        <v>213</v>
      </c>
      <c r="C32" s="86"/>
      <c r="D32" s="86">
        <f ca="1">126*OFFSET(D$113,MATCH($N$1,$C$113:$C$114,0)-1,0)</f>
        <v>126</v>
      </c>
      <c r="E32" s="86">
        <f ca="1">134*OFFSET(E$113,MATCH($N$1,$C$113:$C$114,0)-1,0)</f>
        <v>134</v>
      </c>
      <c r="F32" s="86">
        <f ca="1">141.4*OFFSET(F$113,MATCH($N$1,$C$113:$C$114,0)-1,0)</f>
        <v>141.4</v>
      </c>
      <c r="G32" s="86">
        <f ca="1">134.9*OFFSET(G$113,MATCH($N$1,$C$113:$C$114,0)-1,0)</f>
        <v>134.9</v>
      </c>
      <c r="H32" s="86">
        <f ca="1">165.9*OFFSET(H$113,MATCH($N$1,$C$113:$C$114,0)-1,0)</f>
        <v>165.9</v>
      </c>
      <c r="I32" s="86">
        <f ca="1">200.3*OFFSET(I$113,MATCH($N$1,$C$113:$C$114,0)-1,0)</f>
        <v>200.3</v>
      </c>
      <c r="J32" s="86">
        <f ca="1">205*OFFSET(J$113,MATCH($N$1,$C$113:$C$114,0)-1,0)</f>
        <v>205</v>
      </c>
      <c r="K32" s="86">
        <f ca="1">212.4*OFFSET(K$113,MATCH($N$1,$C$113:$C$114,0)-1,0)</f>
        <v>212.4</v>
      </c>
      <c r="L32" s="86">
        <f ca="1">165.1*OFFSET(L$113,MATCH($N$1,$C$113:$C$114,0)-1,0)</f>
        <v>165.1</v>
      </c>
      <c r="M32" s="86">
        <f ca="1">210.8*OFFSET(M$113,MATCH($N$1,$C$113:$C$114,0)-1,0)</f>
        <v>210.8</v>
      </c>
      <c r="N32" s="86">
        <v>174.1</v>
      </c>
      <c r="O32" s="84">
        <f t="shared" ca="1" si="0"/>
        <v>0.38174603174603172</v>
      </c>
      <c r="P32" s="84">
        <f t="shared" ca="1" si="1"/>
        <v>-0.15073170731707319</v>
      </c>
    </row>
    <row r="33" spans="1:16" s="78" customFormat="1" ht="18" customHeight="1">
      <c r="A33" s="192"/>
      <c r="B33" s="85" t="s">
        <v>214</v>
      </c>
      <c r="C33" s="86"/>
      <c r="D33" s="86">
        <f ca="1">69.3*OFFSET(D$113,MATCH($N$1,$C$113:$C$114,0)-1,0)</f>
        <v>69.3</v>
      </c>
      <c r="E33" s="86">
        <f ca="1">70*OFFSET(E$113,MATCH($N$1,$C$113:$C$114,0)-1,0)</f>
        <v>70</v>
      </c>
      <c r="F33" s="86">
        <f ca="1">75.9*OFFSET(F$113,MATCH($N$1,$C$113:$C$114,0)-1,0)</f>
        <v>75.900000000000006</v>
      </c>
      <c r="G33" s="86">
        <f ca="1">75.6*OFFSET(G$113,MATCH($N$1,$C$113:$C$114,0)-1,0)</f>
        <v>75.599999999999994</v>
      </c>
      <c r="H33" s="86">
        <f ca="1">88.5*OFFSET(H$113,MATCH($N$1,$C$113:$C$114,0)-1,0)</f>
        <v>88.5</v>
      </c>
      <c r="I33" s="86">
        <f ca="1">97.2*OFFSET(I$113,MATCH($N$1,$C$113:$C$114,0)-1,0)</f>
        <v>97.2</v>
      </c>
      <c r="J33" s="86">
        <f ca="1">105.7*OFFSET(J$113,MATCH($N$1,$C$113:$C$114,0)-1,0)</f>
        <v>105.7</v>
      </c>
      <c r="K33" s="86">
        <f ca="1">90*OFFSET(K$113,MATCH($N$1,$C$113:$C$114,0)-1,0)</f>
        <v>90</v>
      </c>
      <c r="L33" s="86">
        <f ca="1">79.9*OFFSET(L$113,MATCH($N$1,$C$113:$C$114,0)-1,0)</f>
        <v>79.900000000000006</v>
      </c>
      <c r="M33" s="86">
        <f ca="1">89*OFFSET(M$113,MATCH($N$1,$C$113:$C$114,0)-1,0)</f>
        <v>89</v>
      </c>
      <c r="N33" s="86">
        <v>82</v>
      </c>
      <c r="O33" s="84">
        <f t="shared" ca="1" si="0"/>
        <v>0.18326118326118332</v>
      </c>
      <c r="P33" s="84">
        <f t="shared" ca="1" si="1"/>
        <v>-0.22421948912015138</v>
      </c>
    </row>
    <row r="34" spans="1:16" s="78" customFormat="1" ht="18" customHeight="1">
      <c r="A34" s="192"/>
      <c r="B34" s="85" t="s">
        <v>215</v>
      </c>
      <c r="C34" s="86"/>
      <c r="D34" s="86">
        <f ca="1">271.6*OFFSET(D$113,MATCH($N$1,$C$113:$C$114,0)-1,0)</f>
        <v>271.60000000000002</v>
      </c>
      <c r="E34" s="86">
        <f ca="1">275.7*OFFSET(E$113,MATCH($N$1,$C$113:$C$114,0)-1,0)</f>
        <v>275.7</v>
      </c>
      <c r="F34" s="86">
        <f ca="1">284*OFFSET(F$113,MATCH($N$1,$C$113:$C$114,0)-1,0)</f>
        <v>284</v>
      </c>
      <c r="G34" s="86">
        <f ca="1">256*OFFSET(G$113,MATCH($N$1,$C$113:$C$114,0)-1,0)</f>
        <v>256</v>
      </c>
      <c r="H34" s="86">
        <f ca="1">301.1*OFFSET(H$113,MATCH($N$1,$C$113:$C$114,0)-1,0)</f>
        <v>301.10000000000002</v>
      </c>
      <c r="I34" s="86">
        <f ca="1">356.5*OFFSET(I$113,MATCH($N$1,$C$113:$C$114,0)-1,0)</f>
        <v>356.5</v>
      </c>
      <c r="J34" s="86">
        <f ca="1">379.2*OFFSET(J$113,MATCH($N$1,$C$113:$C$114,0)-1,0)</f>
        <v>379.2</v>
      </c>
      <c r="K34" s="86">
        <f ca="1">368.9*OFFSET(K$113,MATCH($N$1,$C$113:$C$114,0)-1,0)</f>
        <v>368.9</v>
      </c>
      <c r="L34" s="86">
        <f ca="1">288.8*OFFSET(L$113,MATCH($N$1,$C$113:$C$114,0)-1,0)</f>
        <v>288.8</v>
      </c>
      <c r="M34" s="86">
        <f ca="1">356.9*OFFSET(M$113,MATCH($N$1,$C$113:$C$114,0)-1,0)</f>
        <v>356.9</v>
      </c>
      <c r="N34" s="86">
        <v>350.1</v>
      </c>
      <c r="O34" s="84">
        <f t="shared" ca="1" si="0"/>
        <v>0.28902798232695137</v>
      </c>
      <c r="P34" s="84">
        <f t="shared" ca="1" si="1"/>
        <v>-7.6740506329113833E-2</v>
      </c>
    </row>
    <row r="35" spans="1:16" s="78" customFormat="1" ht="18" customHeight="1">
      <c r="A35" s="192"/>
      <c r="B35" s="85" t="s">
        <v>216</v>
      </c>
      <c r="C35" s="86"/>
      <c r="D35" s="86">
        <f ca="1">90.1*OFFSET(D$113,MATCH($N$1,$C$113:$C$114,0)-1,0)</f>
        <v>90.1</v>
      </c>
      <c r="E35" s="86">
        <f ca="1">99.6*OFFSET(E$113,MATCH($N$1,$C$113:$C$114,0)-1,0)</f>
        <v>99.6</v>
      </c>
      <c r="F35" s="86">
        <f ca="1">118.6*OFFSET(F$113,MATCH($N$1,$C$113:$C$114,0)-1,0)</f>
        <v>118.6</v>
      </c>
      <c r="G35" s="86">
        <f ca="1">109.5*OFFSET(G$113,MATCH($N$1,$C$113:$C$114,0)-1,0)</f>
        <v>109.5</v>
      </c>
      <c r="H35" s="86">
        <f ca="1">106.9*OFFSET(H$113,MATCH($N$1,$C$113:$C$114,0)-1,0)</f>
        <v>106.9</v>
      </c>
      <c r="I35" s="86">
        <f ca="1">124.1*OFFSET(I$113,MATCH($N$1,$C$113:$C$114,0)-1,0)</f>
        <v>124.1</v>
      </c>
      <c r="J35" s="86">
        <f ca="1">139.6*OFFSET(J$113,MATCH($N$1,$C$113:$C$114,0)-1,0)</f>
        <v>139.6</v>
      </c>
      <c r="K35" s="86">
        <f ca="1">113*OFFSET(K$113,MATCH($N$1,$C$113:$C$114,0)-1,0)</f>
        <v>113</v>
      </c>
      <c r="L35" s="86">
        <f ca="1">88.5*OFFSET(L$113,MATCH($N$1,$C$113:$C$114,0)-1,0)</f>
        <v>88.5</v>
      </c>
      <c r="M35" s="86">
        <f ca="1">114.9*OFFSET(M$113,MATCH($N$1,$C$113:$C$114,0)-1,0)</f>
        <v>114.9</v>
      </c>
      <c r="N35" s="86">
        <v>105.9</v>
      </c>
      <c r="O35" s="84">
        <f t="shared" ca="1" si="0"/>
        <v>0.17536071032186473</v>
      </c>
      <c r="P35" s="84">
        <f t="shared" ca="1" si="1"/>
        <v>-0.24140401146131799</v>
      </c>
    </row>
    <row r="36" spans="1:16" s="78" customFormat="1" ht="18" customHeight="1">
      <c r="A36" s="192"/>
      <c r="B36" s="85" t="s">
        <v>217</v>
      </c>
      <c r="C36" s="86"/>
      <c r="D36" s="86">
        <f ca="1">361.8*OFFSET(D$113,MATCH($N$1,$C$113:$C$114,0)-1,0)</f>
        <v>361.8</v>
      </c>
      <c r="E36" s="86">
        <f ca="1">375.4*OFFSET(E$113,MATCH($N$1,$C$113:$C$114,0)-1,0)</f>
        <v>375.4</v>
      </c>
      <c r="F36" s="86">
        <f ca="1">402.6*OFFSET(F$113,MATCH($N$1,$C$113:$C$114,0)-1,0)</f>
        <v>402.6</v>
      </c>
      <c r="G36" s="86">
        <f ca="1">365.5*OFFSET(G$113,MATCH($N$1,$C$113:$C$114,0)-1,0)</f>
        <v>365.5</v>
      </c>
      <c r="H36" s="86">
        <f ca="1">408*OFFSET(H$113,MATCH($N$1,$C$113:$C$114,0)-1,0)</f>
        <v>408</v>
      </c>
      <c r="I36" s="86">
        <f ca="1">480.6*OFFSET(I$113,MATCH($N$1,$C$113:$C$114,0)-1,0)</f>
        <v>480.6</v>
      </c>
      <c r="J36" s="86">
        <f ca="1">518.8*OFFSET(J$113,MATCH($N$1,$C$113:$C$114,0)-1,0)</f>
        <v>518.79999999999995</v>
      </c>
      <c r="K36" s="86">
        <f ca="1">481.9*OFFSET(K$113,MATCH($N$1,$C$113:$C$114,0)-1,0)</f>
        <v>481.9</v>
      </c>
      <c r="L36" s="86">
        <f ca="1">377.3*OFFSET(L$113,MATCH($N$1,$C$113:$C$114,0)-1,0)</f>
        <v>377.3</v>
      </c>
      <c r="M36" s="86">
        <f ca="1">471.8*OFFSET(M$113,MATCH($N$1,$C$113:$C$114,0)-1,0)</f>
        <v>471.8</v>
      </c>
      <c r="N36" s="86">
        <v>456</v>
      </c>
      <c r="O36" s="84">
        <f t="shared" ca="1" si="0"/>
        <v>0.26036484245439467</v>
      </c>
      <c r="P36" s="84">
        <f t="shared" ca="1" si="1"/>
        <v>-0.12104857363145713</v>
      </c>
    </row>
    <row r="37" spans="1:16" s="78" customFormat="1" ht="18" customHeight="1">
      <c r="A37" s="192"/>
      <c r="B37" s="87" t="s">
        <v>218</v>
      </c>
      <c r="C37" s="88"/>
      <c r="D37" s="88">
        <f ca="1">212*OFFSET(D$113,MATCH($N$1,$C$113:$C$114,0)-1,0)</f>
        <v>212</v>
      </c>
      <c r="E37" s="88">
        <f ca="1">211.7*OFFSET(E$113,MATCH($N$1,$C$113:$C$114,0)-1,0)</f>
        <v>211.7</v>
      </c>
      <c r="F37" s="88">
        <f ca="1">244*OFFSET(F$113,MATCH($N$1,$C$113:$C$114,0)-1,0)</f>
        <v>244</v>
      </c>
      <c r="G37" s="88">
        <f ca="1">239.1*OFFSET(G$113,MATCH($N$1,$C$113:$C$114,0)-1,0)</f>
        <v>239.1</v>
      </c>
      <c r="H37" s="88">
        <f ca="1">288.7*OFFSET(H$113,MATCH($N$1,$C$113:$C$114,0)-1,0)</f>
        <v>288.7</v>
      </c>
      <c r="I37" s="88">
        <f ca="1">367*OFFSET(I$113,MATCH($N$1,$C$113:$C$114,0)-1,0)</f>
        <v>367</v>
      </c>
      <c r="J37" s="88">
        <f ca="1">356.2*OFFSET(J$113,MATCH($N$1,$C$113:$C$114,0)-1,0)</f>
        <v>356.2</v>
      </c>
      <c r="K37" s="88">
        <f ca="1">356*OFFSET(K$113,MATCH($N$1,$C$113:$C$114,0)-1,0)</f>
        <v>356</v>
      </c>
      <c r="L37" s="88">
        <f ca="1">259.2*OFFSET(L$113,MATCH($N$1,$C$113:$C$114,0)-1,0)</f>
        <v>259.2</v>
      </c>
      <c r="M37" s="88">
        <f ca="1">332.5*OFFSET(M$113,MATCH($N$1,$C$113:$C$114,0)-1,0)</f>
        <v>332.5</v>
      </c>
      <c r="N37" s="88">
        <v>262.89999999999998</v>
      </c>
      <c r="O37" s="84">
        <f t="shared" ca="1" si="0"/>
        <v>0.2400943396226414</v>
      </c>
      <c r="P37" s="84">
        <f t="shared" ca="1" si="1"/>
        <v>-0.26193149915777658</v>
      </c>
    </row>
    <row r="38" spans="1:16" s="78" customFormat="1" ht="18" customHeight="1">
      <c r="A38" s="192"/>
      <c r="B38" s="87" t="s">
        <v>219</v>
      </c>
      <c r="C38" s="88"/>
      <c r="D38" s="88">
        <f ca="1">86*OFFSET(D$113,MATCH($N$1,$C$113:$C$114,0)-1,0)</f>
        <v>86</v>
      </c>
      <c r="E38" s="88">
        <f ca="1">77.7*OFFSET(E$113,MATCH($N$1,$C$113:$C$114,0)-1,0)</f>
        <v>77.7</v>
      </c>
      <c r="F38" s="88">
        <f ca="1">102.6*OFFSET(F$113,MATCH($N$1,$C$113:$C$114,0)-1,0)</f>
        <v>102.6</v>
      </c>
      <c r="G38" s="88">
        <f ca="1">104.2*OFFSET(G$113,MATCH($N$1,$C$113:$C$114,0)-1,0)</f>
        <v>104.2</v>
      </c>
      <c r="H38" s="88">
        <f ca="1">122.8*OFFSET(H$113,MATCH($N$1,$C$113:$C$114,0)-1,0)</f>
        <v>122.8</v>
      </c>
      <c r="I38" s="88">
        <f ca="1">166.7*OFFSET(I$113,MATCH($N$1,$C$113:$C$114,0)-1,0)</f>
        <v>166.7</v>
      </c>
      <c r="J38" s="88">
        <f ca="1">151.2*OFFSET(J$113,MATCH($N$1,$C$113:$C$114,0)-1,0)</f>
        <v>151.19999999999999</v>
      </c>
      <c r="K38" s="88">
        <f ca="1">143.6*OFFSET(K$113,MATCH($N$1,$C$113:$C$114,0)-1,0)</f>
        <v>143.6</v>
      </c>
      <c r="L38" s="88">
        <f ca="1">94.1*OFFSET(L$113,MATCH($N$1,$C$113:$C$114,0)-1,0)</f>
        <v>94.1</v>
      </c>
      <c r="M38" s="88">
        <f ca="1">121.7*OFFSET(M$113,MATCH($N$1,$C$113:$C$114,0)-1,0)</f>
        <v>121.7</v>
      </c>
      <c r="N38" s="88">
        <v>88.8</v>
      </c>
      <c r="O38" s="84">
        <f t="shared" ca="1" si="0"/>
        <v>3.2558139534883686E-2</v>
      </c>
      <c r="P38" s="84">
        <f t="shared" ca="1" si="1"/>
        <v>-0.41269841269841268</v>
      </c>
    </row>
    <row r="39" spans="1:16" s="78" customFormat="1" ht="18" customHeight="1">
      <c r="A39" s="192"/>
      <c r="B39" s="85" t="s">
        <v>220</v>
      </c>
      <c r="C39" s="86"/>
      <c r="D39" s="86">
        <f ca="1">20.7*OFFSET(D$113,MATCH($N$1,$C$113:$C$114,0)-1,0)</f>
        <v>20.7</v>
      </c>
      <c r="E39" s="86">
        <f ca="1">21.3*OFFSET(E$113,MATCH($N$1,$C$113:$C$114,0)-1,0)</f>
        <v>21.3</v>
      </c>
      <c r="F39" s="86">
        <f ca="1">24.3*OFFSET(F$113,MATCH($N$1,$C$113:$C$114,0)-1,0)</f>
        <v>24.3</v>
      </c>
      <c r="G39" s="86">
        <f ca="1">24.7*OFFSET(G$113,MATCH($N$1,$C$113:$C$114,0)-1,0)</f>
        <v>24.7</v>
      </c>
      <c r="H39" s="86">
        <f ca="1">26*OFFSET(H$113,MATCH($N$1,$C$113:$C$114,0)-1,0)</f>
        <v>26</v>
      </c>
      <c r="I39" s="86">
        <f ca="1">30*OFFSET(I$113,MATCH($N$1,$C$113:$C$114,0)-1,0)</f>
        <v>30</v>
      </c>
      <c r="J39" s="86">
        <f ca="1">26.8*OFFSET(J$113,MATCH($N$1,$C$113:$C$114,0)-1,0)</f>
        <v>26.8</v>
      </c>
      <c r="K39" s="86">
        <f ca="1">15.5*OFFSET(K$113,MATCH($N$1,$C$113:$C$114,0)-1,0)</f>
        <v>15.5</v>
      </c>
      <c r="L39" s="86">
        <f ca="1">29.1*OFFSET(L$113,MATCH($N$1,$C$113:$C$114,0)-1,0)</f>
        <v>29.1</v>
      </c>
      <c r="M39" s="86">
        <f ca="1">29.7*OFFSET(M$113,MATCH($N$1,$C$113:$C$114,0)-1,0)</f>
        <v>29.7</v>
      </c>
      <c r="N39" s="86"/>
      <c r="O39" s="84" t="str">
        <f t="shared" si="0"/>
        <v/>
      </c>
      <c r="P39" s="84" t="str">
        <f t="shared" si="1"/>
        <v/>
      </c>
    </row>
    <row r="40" spans="1:16" s="78" customFormat="1" ht="18" customHeight="1">
      <c r="A40" s="192"/>
      <c r="B40" s="85" t="s">
        <v>221</v>
      </c>
      <c r="C40" s="86"/>
      <c r="D40" s="86">
        <f ca="1">4.4*OFFSET(D$113,MATCH($N$1,$C$113:$C$114,0)-1,0)</f>
        <v>4.4000000000000004</v>
      </c>
      <c r="E40" s="86">
        <f ca="1">5.1*OFFSET(E$113,MATCH($N$1,$C$113:$C$114,0)-1,0)</f>
        <v>5.0999999999999996</v>
      </c>
      <c r="F40" s="86">
        <f ca="1">4.6*OFFSET(F$113,MATCH($N$1,$C$113:$C$114,0)-1,0)</f>
        <v>4.5999999999999996</v>
      </c>
      <c r="G40" s="86">
        <f ca="1">3.8*OFFSET(G$113,MATCH($N$1,$C$113:$C$114,0)-1,0)</f>
        <v>3.8</v>
      </c>
      <c r="H40" s="86">
        <f ca="1">3.2*OFFSET(H$113,MATCH($N$1,$C$113:$C$114,0)-1,0)</f>
        <v>3.2</v>
      </c>
      <c r="I40" s="86">
        <f ca="1">3.7*OFFSET(I$113,MATCH($N$1,$C$113:$C$114,0)-1,0)</f>
        <v>3.7</v>
      </c>
      <c r="J40" s="86">
        <f ca="1">4.1*OFFSET(J$113,MATCH($N$1,$C$113:$C$114,0)-1,0)</f>
        <v>4.0999999999999996</v>
      </c>
      <c r="K40" s="86">
        <f ca="1">4.3*OFFSET(K$113,MATCH($N$1,$C$113:$C$114,0)-1,0)</f>
        <v>4.3</v>
      </c>
      <c r="L40" s="86">
        <f ca="1">6*OFFSET(L$113,MATCH($N$1,$C$113:$C$114,0)-1,0)</f>
        <v>6</v>
      </c>
      <c r="M40" s="86">
        <f ca="1">3.5*OFFSET(M$113,MATCH($N$1,$C$113:$C$114,0)-1,0)</f>
        <v>3.5</v>
      </c>
      <c r="N40" s="86"/>
      <c r="O40" s="84" t="str">
        <f t="shared" si="0"/>
        <v/>
      </c>
      <c r="P40" s="84" t="str">
        <f t="shared" si="1"/>
        <v/>
      </c>
    </row>
    <row r="41" spans="1:16" s="78" customFormat="1" ht="18" customHeight="1">
      <c r="A41" s="192"/>
      <c r="B41" s="85" t="s">
        <v>222</v>
      </c>
      <c r="C41" s="86"/>
      <c r="D41" s="86">
        <f ca="1">1.1*OFFSET(D$113,MATCH($N$1,$C$113:$C$114,0)-1,0)</f>
        <v>1.1000000000000001</v>
      </c>
      <c r="E41" s="86">
        <f ca="1">3.8*OFFSET(E$113,MATCH($N$1,$C$113:$C$114,0)-1,0)</f>
        <v>3.8</v>
      </c>
      <c r="F41" s="86">
        <f ca="1">0.9*OFFSET(F$113,MATCH($N$1,$C$113:$C$114,0)-1,0)</f>
        <v>0.9</v>
      </c>
      <c r="G41" s="86">
        <f ca="1">3.8*OFFSET(G$113,MATCH($N$1,$C$113:$C$114,0)-1,0)</f>
        <v>3.8</v>
      </c>
      <c r="H41" s="86">
        <f ca="1">1.3*OFFSET(H$113,MATCH($N$1,$C$113:$C$114,0)-1,0)</f>
        <v>1.3</v>
      </c>
      <c r="I41" s="86">
        <f ca="1">5.4*OFFSET(I$113,MATCH($N$1,$C$113:$C$114,0)-1,0)</f>
        <v>5.4</v>
      </c>
      <c r="J41" s="86">
        <f ca="1">0.6*OFFSET(J$113,MATCH($N$1,$C$113:$C$114,0)-1,0)</f>
        <v>0.6</v>
      </c>
      <c r="K41" s="86">
        <f ca="1">3*OFFSET(K$113,MATCH($N$1,$C$113:$C$114,0)-1,0)</f>
        <v>3</v>
      </c>
      <c r="L41" s="86">
        <f ca="1">2*OFFSET(L$113,MATCH($N$1,$C$113:$C$114,0)-1,0)</f>
        <v>2</v>
      </c>
      <c r="M41" s="86">
        <f ca="1">5.8*OFFSET(M$113,MATCH($N$1,$C$113:$C$114,0)-1,0)</f>
        <v>5.8</v>
      </c>
      <c r="N41" s="86"/>
      <c r="O41" s="84" t="str">
        <f t="shared" si="0"/>
        <v/>
      </c>
      <c r="P41" s="84" t="str">
        <f t="shared" si="1"/>
        <v/>
      </c>
    </row>
    <row r="42" spans="1:16" s="78" customFormat="1" ht="18" customHeight="1" thickBot="1">
      <c r="A42" s="193"/>
      <c r="B42" s="89" t="s">
        <v>223</v>
      </c>
      <c r="C42" s="90"/>
      <c r="D42" s="90">
        <f ca="1">59.7*OFFSET(D$113,MATCH($N$1,$C$113:$C$114,0)-1,0)</f>
        <v>59.7</v>
      </c>
      <c r="E42" s="90">
        <f ca="1">47.5*OFFSET(E$113,MATCH($N$1,$C$113:$C$114,0)-1,0)</f>
        <v>47.5</v>
      </c>
      <c r="F42" s="90">
        <f ca="1">72.8*OFFSET(F$113,MATCH($N$1,$C$113:$C$114,0)-1,0)</f>
        <v>72.8</v>
      </c>
      <c r="G42" s="90">
        <f ca="1">72*OFFSET(G$113,MATCH($N$1,$C$113:$C$114,0)-1,0)</f>
        <v>72</v>
      </c>
      <c r="H42" s="90">
        <f ca="1">92.3*OFFSET(H$113,MATCH($N$1,$C$113:$C$114,0)-1,0)</f>
        <v>92.3</v>
      </c>
      <c r="I42" s="90">
        <f ca="1">127.6*OFFSET(I$113,MATCH($N$1,$C$113:$C$114,0)-1,0)</f>
        <v>127.6</v>
      </c>
      <c r="J42" s="90">
        <f ca="1">119.7*OFFSET(J$113,MATCH($N$1,$C$113:$C$114,0)-1,0)</f>
        <v>119.7</v>
      </c>
      <c r="K42" s="90">
        <f ca="1">120.8*OFFSET(K$113,MATCH($N$1,$C$113:$C$114,0)-1,0)</f>
        <v>120.8</v>
      </c>
      <c r="L42" s="90">
        <f ca="1">56.9*OFFSET(L$113,MATCH($N$1,$C$113:$C$114,0)-1,0)</f>
        <v>56.9</v>
      </c>
      <c r="M42" s="90">
        <f ca="1">82.7*OFFSET(M$113,MATCH($N$1,$C$113:$C$114,0)-1,0)</f>
        <v>82.7</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Pots and traps over 12m</v>
      </c>
      <c r="C49" s="101"/>
      <c r="D49" s="101"/>
      <c r="E49" s="101"/>
      <c r="F49" s="101"/>
      <c r="G49" s="101"/>
      <c r="K49" s="101" t="str">
        <f>$B25&amp;CHAR(10)&amp;$A$1</f>
        <v>Operating profit per kW day at sea (£)
Pots and traps over 12m</v>
      </c>
    </row>
    <row r="50" spans="1:11" s="78" customFormat="1">
      <c r="A50" s="101" t="str">
        <f>$B23&amp;CHAR(10)&amp;$A$1</f>
        <v>Fishing income per kW day at sea (£)
Pots and traps over 12m</v>
      </c>
    </row>
    <row r="51" spans="1:11" s="78" customFormat="1">
      <c r="A51" s="101" t="str">
        <f>$B21&amp;CHAR(10)&amp;$A$1</f>
        <v>Average price per tonne landed (£)
Pots and traps over 12m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Pots and traps over 12m</v>
      </c>
      <c r="F63" s="101" t="str">
        <f>$B21&amp;CHAR(10)&amp;$A$1</f>
        <v>Average price per tonne landed (£)
Pots and traps over 12m</v>
      </c>
      <c r="K63" s="101" t="str">
        <f>"Average annual operating profit per vessel (£'000)"&amp;CHAR(10)&amp;$A$1</f>
        <v>Average annual operating profit per vessel (£'000)
Pots and traps over 12m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Pots and traps over 12m</v>
      </c>
      <c r="F77" s="101" t="str">
        <f>"Top 5 landed species by value in "&amp;A78&amp;CHAR(10)&amp;A1</f>
        <v>Top 5 landed species by value in 2021
Pots and traps over 12m</v>
      </c>
    </row>
    <row r="78" spans="1:11" s="101" customFormat="1">
      <c r="A78" s="101">
        <v>2021</v>
      </c>
      <c r="B78" s="101" t="s">
        <v>522</v>
      </c>
      <c r="C78" s="102">
        <v>0.6622101081870535</v>
      </c>
      <c r="D78" s="103">
        <v>12153634</v>
      </c>
      <c r="G78" s="101" t="s">
        <v>523</v>
      </c>
      <c r="H78" s="102">
        <v>0.65530447694818394</v>
      </c>
      <c r="I78" s="103">
        <v>12153634</v>
      </c>
      <c r="K78" s="101" t="s">
        <v>237</v>
      </c>
    </row>
    <row r="79" spans="1:11" s="101" customFormat="1">
      <c r="B79" s="101" t="s">
        <v>524</v>
      </c>
      <c r="C79" s="102">
        <v>0.30021487727725787</v>
      </c>
      <c r="D79" s="103">
        <v>3050596</v>
      </c>
      <c r="G79" s="101" t="s">
        <v>525</v>
      </c>
      <c r="H79" s="102">
        <v>0.18302332164304333</v>
      </c>
      <c r="I79" s="103">
        <v>553960</v>
      </c>
    </row>
    <row r="80" spans="1:11" s="101" customFormat="1">
      <c r="B80" s="101" t="s">
        <v>526</v>
      </c>
      <c r="C80" s="102">
        <v>2.6543924817611718E-2</v>
      </c>
      <c r="D80" s="103">
        <v>553960</v>
      </c>
      <c r="G80" s="101" t="s">
        <v>527</v>
      </c>
      <c r="H80" s="102">
        <v>0.14202953126112272</v>
      </c>
      <c r="I80" s="103">
        <v>3050596</v>
      </c>
    </row>
    <row r="81" spans="1:19" s="101" customFormat="1">
      <c r="B81" s="101" t="s">
        <v>528</v>
      </c>
      <c r="C81" s="102">
        <v>5.9105243468457556E-3</v>
      </c>
      <c r="D81" s="103">
        <v>1692097</v>
      </c>
      <c r="G81" s="101" t="s">
        <v>529</v>
      </c>
      <c r="H81" s="102">
        <v>1.5811754757983892E-2</v>
      </c>
      <c r="I81" s="103">
        <v>1692097</v>
      </c>
    </row>
    <row r="82" spans="1:19" s="101" customFormat="1">
      <c r="B82" s="101" t="s">
        <v>530</v>
      </c>
      <c r="C82" s="102">
        <v>2.2783676224350565E-3</v>
      </c>
      <c r="D82" s="103">
        <v>3689192</v>
      </c>
      <c r="G82" s="101" t="s">
        <v>530</v>
      </c>
      <c r="H82" s="102">
        <v>1.8848617501770379E-3</v>
      </c>
      <c r="I82" s="103">
        <v>3689192</v>
      </c>
    </row>
    <row r="83" spans="1:19" s="101" customFormat="1">
      <c r="B83" s="101" t="s">
        <v>531</v>
      </c>
      <c r="C83" s="102">
        <v>2.8421977487960159E-3</v>
      </c>
      <c r="D83" s="103">
        <v>5920853</v>
      </c>
      <c r="G83" s="101" t="s">
        <v>532</v>
      </c>
      <c r="H83" s="102">
        <v>1.9460536394890759E-3</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174</v>
      </c>
      <c r="D93" s="107">
        <v>0.67977824862740532</v>
      </c>
      <c r="E93" s="107">
        <v>0.69243140028507311</v>
      </c>
      <c r="F93" s="107">
        <v>0.65413165043225752</v>
      </c>
      <c r="G93" s="107">
        <v>0.66138816847984438</v>
      </c>
      <c r="H93" s="107">
        <v>0.66298916460364299</v>
      </c>
      <c r="I93" s="107">
        <v>0.73255654206887422</v>
      </c>
      <c r="J93" s="107">
        <v>0.70205349729842748</v>
      </c>
      <c r="K93" s="107">
        <v>0.59222495625458405</v>
      </c>
      <c r="L93" s="107">
        <v>0.65530447694818394</v>
      </c>
      <c r="M93" s="107">
        <v>0.71663573911572687</v>
      </c>
      <c r="O93" s="101">
        <v>12153634</v>
      </c>
    </row>
    <row r="94" spans="1:19" s="101" customFormat="1" hidden="1">
      <c r="B94" s="101">
        <v>2</v>
      </c>
      <c r="C94" s="101" t="s">
        <v>166</v>
      </c>
      <c r="D94" s="107">
        <v>0.15729277865887065</v>
      </c>
      <c r="E94" s="107">
        <v>0.15077805982380796</v>
      </c>
      <c r="F94" s="107">
        <v>0.16861370937041739</v>
      </c>
      <c r="G94" s="107">
        <v>0.16005160045762409</v>
      </c>
      <c r="H94" s="107">
        <v>0.15215590156614983</v>
      </c>
      <c r="I94" s="107">
        <v>0.10586523923883197</v>
      </c>
      <c r="J94" s="107">
        <v>0.11316095070897172</v>
      </c>
      <c r="K94" s="107">
        <v>0.14952040365957955</v>
      </c>
      <c r="L94" s="107">
        <v>0.18302332164304333</v>
      </c>
      <c r="M94" s="107">
        <v>0.18480611913127715</v>
      </c>
      <c r="O94" s="101">
        <v>553960</v>
      </c>
    </row>
    <row r="95" spans="1:19" s="101" customFormat="1" hidden="1">
      <c r="B95" s="101">
        <v>3</v>
      </c>
      <c r="C95" s="101" t="s">
        <v>308</v>
      </c>
      <c r="D95" s="107">
        <v>0.1061580473915284</v>
      </c>
      <c r="E95" s="107">
        <v>0.12423942581482358</v>
      </c>
      <c r="F95" s="107">
        <v>0.14778877413796834</v>
      </c>
      <c r="G95" s="107">
        <v>0.15296386588512043</v>
      </c>
      <c r="H95" s="107">
        <v>0.1627612660824512</v>
      </c>
      <c r="I95" s="107">
        <v>0.14696891698413386</v>
      </c>
      <c r="J95" s="107">
        <v>0.17037452459899621</v>
      </c>
      <c r="K95" s="107">
        <v>0.23401096289494147</v>
      </c>
      <c r="L95" s="107">
        <v>0.14202953126112272</v>
      </c>
      <c r="M95" s="107">
        <v>7.5365417352573419E-2</v>
      </c>
      <c r="O95" s="101">
        <v>3050596</v>
      </c>
    </row>
    <row r="96" spans="1:19" s="101" customFormat="1" hidden="1">
      <c r="B96" s="101">
        <v>4</v>
      </c>
      <c r="C96" s="101" t="s">
        <v>159</v>
      </c>
      <c r="D96" s="107">
        <v>4.2932208388097436E-2</v>
      </c>
      <c r="E96" s="107">
        <v>2.5251044650217627E-2</v>
      </c>
      <c r="F96" s="107">
        <v>2.0866568835280486E-2</v>
      </c>
      <c r="G96" s="107">
        <v>1.9446893523176457E-2</v>
      </c>
      <c r="H96" s="107">
        <v>1.5136960111281055E-2</v>
      </c>
      <c r="I96" s="107">
        <v>8.8699309508836963E-3</v>
      </c>
      <c r="J96" s="107">
        <v>1.0096175689268062E-2</v>
      </c>
      <c r="K96" s="107">
        <v>1.6667101437540563E-2</v>
      </c>
      <c r="L96" s="107">
        <v>1.5811754757983892E-2</v>
      </c>
      <c r="M96" s="107">
        <v>1.7766405362845503E-2</v>
      </c>
      <c r="O96" s="101">
        <v>1692097</v>
      </c>
    </row>
    <row r="97" spans="1:15" s="101" customFormat="1" hidden="1">
      <c r="B97" s="101">
        <v>5</v>
      </c>
      <c r="C97" s="101" t="s">
        <v>176</v>
      </c>
      <c r="D97" s="107"/>
      <c r="E97" s="107"/>
      <c r="F97" s="107">
        <v>3.9537384111871026E-3</v>
      </c>
      <c r="G97" s="107">
        <v>2.0709669209575659E-3</v>
      </c>
      <c r="H97" s="107">
        <v>3.2556101247076352E-3</v>
      </c>
      <c r="I97" s="107">
        <v>3.1649023692059859E-3</v>
      </c>
      <c r="J97" s="107">
        <v>2.3167284492398095E-3</v>
      </c>
      <c r="K97" s="107"/>
      <c r="L97" s="107">
        <v>1.8848617501770379E-3</v>
      </c>
      <c r="M97" s="107">
        <v>2.020486965283369E-3</v>
      </c>
      <c r="O97" s="101">
        <v>3689192</v>
      </c>
    </row>
    <row r="98" spans="1:15" s="101" customFormat="1" hidden="1">
      <c r="B98" s="101">
        <v>6</v>
      </c>
      <c r="C98" s="101" t="s">
        <v>170</v>
      </c>
      <c r="D98" s="107"/>
      <c r="E98" s="107"/>
      <c r="F98" s="107"/>
      <c r="G98" s="107"/>
      <c r="H98" s="107"/>
      <c r="I98" s="107"/>
      <c r="J98" s="107"/>
      <c r="K98" s="107">
        <v>3.9334165135060661E-3</v>
      </c>
      <c r="L98" s="107"/>
      <c r="M98" s="107"/>
      <c r="O98" s="101">
        <v>11115023</v>
      </c>
    </row>
    <row r="99" spans="1:15" s="101" customFormat="1" hidden="1">
      <c r="B99" s="101">
        <v>7</v>
      </c>
      <c r="C99" s="101" t="s">
        <v>397</v>
      </c>
      <c r="D99" s="107"/>
      <c r="E99" s="107">
        <v>3.1131278096198133E-3</v>
      </c>
      <c r="F99" s="107"/>
      <c r="G99" s="107"/>
      <c r="H99" s="107"/>
      <c r="I99" s="107"/>
      <c r="J99" s="107"/>
      <c r="K99" s="107"/>
      <c r="L99" s="107"/>
      <c r="M99" s="107"/>
      <c r="O99" s="101">
        <v>2480382</v>
      </c>
    </row>
    <row r="100" spans="1:15" s="101" customFormat="1" hidden="1">
      <c r="B100" s="101">
        <v>8</v>
      </c>
      <c r="C100" s="101" t="s">
        <v>248</v>
      </c>
      <c r="D100" s="107">
        <v>5.2680328548295654E-3</v>
      </c>
      <c r="E100" s="107"/>
      <c r="F100" s="107"/>
      <c r="G100" s="107"/>
      <c r="H100" s="107"/>
      <c r="I100" s="107"/>
      <c r="J100" s="107"/>
      <c r="K100" s="107"/>
      <c r="L100" s="107"/>
      <c r="M100" s="107"/>
      <c r="O100" s="101">
        <v>7434864</v>
      </c>
    </row>
    <row r="101" spans="1:15" s="101" customFormat="1" hidden="1">
      <c r="B101" s="101">
        <v>9</v>
      </c>
      <c r="C101" s="101" t="s">
        <v>251</v>
      </c>
      <c r="D101" s="107">
        <v>8.5706840792686215E-3</v>
      </c>
      <c r="E101" s="107">
        <v>4.1869416164579442E-3</v>
      </c>
      <c r="F101" s="107">
        <v>4.6455588128891988E-3</v>
      </c>
      <c r="G101" s="107">
        <v>4.0785047332770972E-3</v>
      </c>
      <c r="H101" s="107">
        <v>3.701097511767257E-3</v>
      </c>
      <c r="I101" s="107">
        <v>2.5744683880702711E-3</v>
      </c>
      <c r="J101" s="107">
        <v>1.9981232550967038E-3</v>
      </c>
      <c r="K101" s="107">
        <v>3.6431592398482883E-3</v>
      </c>
      <c r="L101" s="107">
        <v>1.9460536394890885E-3</v>
      </c>
      <c r="M101" s="107">
        <v>3.4058320722937354E-3</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26</v>
      </c>
      <c r="D121" s="52">
        <v>52</v>
      </c>
      <c r="E121" s="52">
        <v>26</v>
      </c>
      <c r="F121" s="53">
        <v>104</v>
      </c>
    </row>
    <row r="122" spans="1:15" ht="18" customHeight="1">
      <c r="A122" s="186" t="s">
        <v>198</v>
      </c>
      <c r="B122" s="35" t="s">
        <v>199</v>
      </c>
      <c r="C122" s="54">
        <v>16.962692260742188</v>
      </c>
      <c r="D122" s="54">
        <v>15.695769309997559</v>
      </c>
      <c r="E122" s="54">
        <v>14.014230728149414</v>
      </c>
      <c r="F122" s="55">
        <v>15.59211540222168</v>
      </c>
    </row>
    <row r="123" spans="1:15" ht="18" customHeight="1">
      <c r="A123" s="187"/>
      <c r="B123" s="37" t="s">
        <v>190</v>
      </c>
      <c r="C123" s="56">
        <v>272.42306518554688</v>
      </c>
      <c r="D123" s="56">
        <v>225.65384674072266</v>
      </c>
      <c r="E123" s="56">
        <v>218.80769348144531</v>
      </c>
      <c r="F123" s="57">
        <v>235.63461303710938</v>
      </c>
    </row>
    <row r="124" spans="1:15" ht="18" customHeight="1">
      <c r="A124" s="187"/>
      <c r="B124" s="37" t="s">
        <v>191</v>
      </c>
      <c r="C124" s="56">
        <v>89.5</v>
      </c>
      <c r="D124" s="56">
        <v>61.538461685180664</v>
      </c>
      <c r="E124" s="56">
        <v>36.807693481445313</v>
      </c>
      <c r="F124" s="57">
        <v>62.346153259277344</v>
      </c>
    </row>
    <row r="125" spans="1:15" ht="18" customHeight="1">
      <c r="A125" s="187"/>
      <c r="B125" s="37" t="s">
        <v>192</v>
      </c>
      <c r="C125" s="56">
        <v>228.64364624023438</v>
      </c>
      <c r="D125" s="56">
        <v>189.74175262451172</v>
      </c>
      <c r="E125" s="56">
        <v>169.44473266601563</v>
      </c>
      <c r="F125" s="57">
        <v>194.39297485351563</v>
      </c>
    </row>
    <row r="126" spans="1:15" ht="18" customHeight="1">
      <c r="A126" s="187"/>
      <c r="B126" s="37" t="s">
        <v>193</v>
      </c>
      <c r="C126" s="33">
        <v>334.11419677734375</v>
      </c>
      <c r="D126" s="33">
        <v>228.87689971923828</v>
      </c>
      <c r="E126" s="33">
        <v>76.3531494140625</v>
      </c>
      <c r="F126" s="58">
        <v>217.05528259277344</v>
      </c>
    </row>
    <row r="127" spans="1:15" ht="18" customHeight="1">
      <c r="A127" s="187"/>
      <c r="B127" s="37" t="s">
        <v>200</v>
      </c>
      <c r="C127" s="33">
        <f ca="1">1037.428375*OFFSET($L$113,MATCH($N$1,$C$113:$C$114,0)-1,0)</f>
        <v>1037.428375</v>
      </c>
      <c r="D127" s="33">
        <f ca="1">531.881640625*OFFSET($L$113,MATCH($N$1,$C$113:$C$114,0)-1,0)</f>
        <v>531.88164062500005</v>
      </c>
      <c r="E127" s="33">
        <f ca="1">213.169921875*OFFSET($L$113,MATCH($N$1,$C$113:$C$114,0)-1,0)</f>
        <v>213.169921875</v>
      </c>
      <c r="F127" s="58">
        <f ca="1">578.590375*OFFSET($L$113,MATCH($N$1,$C$113:$C$114,0)-1,0)</f>
        <v>578.59037499999999</v>
      </c>
    </row>
    <row r="128" spans="1:15" ht="18" customHeight="1">
      <c r="A128" s="187"/>
      <c r="B128" s="37" t="s">
        <v>195</v>
      </c>
      <c r="C128" s="56">
        <v>200.73077392578125</v>
      </c>
      <c r="D128" s="56">
        <v>192.57692718505859</v>
      </c>
      <c r="E128" s="56">
        <v>150.5</v>
      </c>
      <c r="F128" s="57">
        <v>184.09616088867188</v>
      </c>
    </row>
    <row r="129" spans="1:15" ht="18" customHeight="1">
      <c r="A129" s="187"/>
      <c r="B129" s="37" t="s">
        <v>201</v>
      </c>
      <c r="C129" s="56">
        <v>20</v>
      </c>
      <c r="D129" s="56">
        <v>31.192307472229004</v>
      </c>
      <c r="E129" s="56">
        <v>29.153846740722656</v>
      </c>
      <c r="F129" s="57">
        <v>27.884614944458008</v>
      </c>
    </row>
    <row r="130" spans="1:15" ht="18" customHeight="1">
      <c r="A130" s="187"/>
      <c r="B130" s="37" t="s">
        <v>202</v>
      </c>
      <c r="C130" s="59">
        <v>1.6644891500473022</v>
      </c>
      <c r="D130" s="59">
        <v>1.1884959588086941</v>
      </c>
      <c r="E130" s="59">
        <v>0.50732988119125366</v>
      </c>
      <c r="F130" s="60">
        <v>1.1790320873260498</v>
      </c>
    </row>
    <row r="131" spans="1:15" ht="18" customHeight="1">
      <c r="A131" s="188"/>
      <c r="B131" s="39" t="s">
        <v>203</v>
      </c>
      <c r="C131" s="40">
        <f ca="1">3105.01135541795*OFFSET($L$113,MATCH($N$1,$C$113:$C$114,0)-1,0)</f>
        <v>3105.0113554179502</v>
      </c>
      <c r="D131" s="40">
        <f ca="1">2323.87646493576*OFFSET($L$113,MATCH($N$1,$C$113:$C$114,0)-1,0)</f>
        <v>2323.8764649357599</v>
      </c>
      <c r="E131" s="40">
        <f ca="1">2791.89429003094*OFFSET($L$113,MATCH($N$1,$C$113:$C$114,0)-1,0)</f>
        <v>2791.8942900309398</v>
      </c>
      <c r="F131" s="61">
        <f ca="1">2666*OFFSET($L$113,MATCH($N$1,$C$113:$C$114,0)-1,0)</f>
        <v>2666</v>
      </c>
    </row>
    <row r="132" spans="1:15" ht="18" customHeight="1">
      <c r="A132" s="198" t="s">
        <v>204</v>
      </c>
      <c r="B132" s="35" t="s">
        <v>205</v>
      </c>
      <c r="C132" s="62">
        <v>5.8073369410607123</v>
      </c>
      <c r="D132" s="62">
        <v>4.9772098930166147</v>
      </c>
      <c r="E132" s="62">
        <v>2.0474721953482096</v>
      </c>
      <c r="F132" s="63">
        <v>4.6480015759087863</v>
      </c>
    </row>
    <row r="133" spans="1:15" ht="18" customHeight="1">
      <c r="A133" s="199"/>
      <c r="B133" s="37" t="s">
        <v>206</v>
      </c>
      <c r="C133" s="59">
        <f ca="1">18.0318471467317*OFFSET($L$113,MATCH($N$1,$C$113:$C$114,0)-1,0)</f>
        <v>18.0318471467317</v>
      </c>
      <c r="D133" s="59">
        <f ca="1">11.5664209314267*OFFSET($L$113,MATCH($N$1,$C$113:$C$114,0)-1,0)</f>
        <v>11.5664209314267</v>
      </c>
      <c r="E133" s="59">
        <f ca="1">5.71632593118977*OFFSET($L$113,MATCH($N$1,$C$113:$C$114,0)-1,0)</f>
        <v>5.7163259311897701</v>
      </c>
      <c r="F133" s="60">
        <f ca="1">12.3898803230288*OFFSET($L$113,MATCH($N$1,$C$113:$C$114,0)-1,0)</f>
        <v>12.3898803230288</v>
      </c>
    </row>
    <row r="134" spans="1:15" ht="18" customHeight="1">
      <c r="A134" s="199"/>
      <c r="B134" s="37" t="s">
        <v>153</v>
      </c>
      <c r="C134" s="59">
        <f ca="1">13.5234793438942*OFFSET($L$113,MATCH($N$1,$C$113:$C$114,0)-1,0)</f>
        <v>13.5234793438942</v>
      </c>
      <c r="D134" s="59">
        <f ca="1">9.30539259804173*OFFSET($L$113,MATCH($N$1,$C$113:$C$114,0)-1,0)</f>
        <v>9.3053925980417294</v>
      </c>
      <c r="E134" s="59">
        <f ca="1">5.19833749257851*OFFSET($L$113,MATCH($N$1,$C$113:$C$114,0)-1,0)</f>
        <v>5.19833749257851</v>
      </c>
      <c r="F134" s="60">
        <f ca="1">9.7846445224565*OFFSET($L$113,MATCH($N$1,$C$113:$C$114,0)-1,0)</f>
        <v>9.7846445224564995</v>
      </c>
    </row>
    <row r="135" spans="1:15" ht="18" customHeight="1">
      <c r="A135" s="200"/>
      <c r="B135" s="39" t="s">
        <v>154</v>
      </c>
      <c r="C135" s="64">
        <f ca="1">4.50836780283747*OFFSET($L$113,MATCH($N$1,$C$113:$C$114,0)-1,0)</f>
        <v>4.5083678028374701</v>
      </c>
      <c r="D135" s="64">
        <f ca="1">2.26102833338501*OFFSET($L$113,MATCH($N$1,$C$113:$C$114,0)-1,0)</f>
        <v>2.2610283333850099</v>
      </c>
      <c r="E135" s="64">
        <f ca="1">0.517988438611259*OFFSET($L$113,MATCH($N$1,$C$113:$C$114,0)-1,0)</f>
        <v>0.51798843861125898</v>
      </c>
      <c r="F135" s="65">
        <f ca="1">2.60523580057229*OFFSET($L$113,MATCH($N$1,$C$113:$C$114,0)-1,0)</f>
        <v>2.6052358005722902</v>
      </c>
    </row>
    <row r="136" spans="1:15" ht="18" customHeight="1">
      <c r="A136" s="201" t="s">
        <v>260</v>
      </c>
      <c r="B136" s="37" t="s">
        <v>261</v>
      </c>
      <c r="C136" s="66">
        <f ca="1">66.1561640625*OFFSET($L$113,MATCH($N$1,$C$113:$C$114,0)-1,0)</f>
        <v>66.156164062499997</v>
      </c>
      <c r="D136" s="66">
        <f ca="1">58.200447265625*OFFSET($L$113,MATCH($N$1,$C$113:$C$114,0)-1,0)</f>
        <v>58.200447265625002</v>
      </c>
      <c r="E136" s="66">
        <f ca="1">45.6802265625*OFFSET($L$113,MATCH($N$1,$C$113:$C$114,0)-1,0)</f>
        <v>45.680226562500003</v>
      </c>
      <c r="F136" s="67">
        <f ca="1">57.0593203125*OFFSET($L$113,MATCH($N$1,$C$113:$C$114,0)-1,0)</f>
        <v>57.059320312499999</v>
      </c>
    </row>
    <row r="137" spans="1:15" ht="18" customHeight="1">
      <c r="A137" s="202"/>
      <c r="B137" s="37" t="s">
        <v>262</v>
      </c>
      <c r="C137" s="31">
        <v>137919.23072972521</v>
      </c>
      <c r="D137" s="31">
        <v>121390.38375255838</v>
      </c>
      <c r="E137" s="31">
        <v>96196.157165527344</v>
      </c>
      <c r="F137" s="68">
        <v>119224.03846153847</v>
      </c>
    </row>
    <row r="138" spans="1:15" ht="18" customHeight="1">
      <c r="A138" s="202"/>
      <c r="B138" s="37" t="s">
        <v>263</v>
      </c>
      <c r="C138" s="31">
        <v>687.08563232421875</v>
      </c>
      <c r="D138" s="31">
        <v>630.34749555385292</v>
      </c>
      <c r="E138" s="31">
        <v>639.1771240234375</v>
      </c>
      <c r="F138" s="68">
        <v>647.6182861328125</v>
      </c>
    </row>
    <row r="139" spans="1:15" ht="18" customHeight="1">
      <c r="A139" s="202"/>
      <c r="B139" s="37" t="s">
        <v>264</v>
      </c>
      <c r="C139" s="31">
        <f ca="1">329.576590418372*OFFSET($L$113,MATCH($N$1,$C$113:$C$114,0)-1,0)</f>
        <v>329.57659041837201</v>
      </c>
      <c r="D139" s="31">
        <f ca="1">302.219212427752*OFFSET($L$113,MATCH($N$1,$C$113:$C$114,0)-1,0)</f>
        <v>302.21921242775198</v>
      </c>
      <c r="E139" s="31">
        <f ca="1">303.523100083056*OFFSET($L$113,MATCH($N$1,$C$113:$C$114,0)-1,0)</f>
        <v>303.52310008305602</v>
      </c>
      <c r="F139" s="68">
        <f ca="1">309.943021283346*OFFSET($L$113,MATCH($N$1,$C$113:$C$114,0)-1,0)</f>
        <v>309.94302128334601</v>
      </c>
      <c r="I139" s="43"/>
      <c r="L139" s="69" t="str">
        <f>C120</f>
        <v>Most
profitable
quartile</v>
      </c>
      <c r="M139" s="69" t="str">
        <f>D120</f>
        <v>Middle
two quartiles</v>
      </c>
      <c r="N139" s="69" t="str">
        <f>E120</f>
        <v>Least
profitable
quartile</v>
      </c>
      <c r="O139" s="69"/>
    </row>
    <row r="140" spans="1:15" ht="18" customHeight="1">
      <c r="A140" s="202"/>
      <c r="B140" s="37" t="s">
        <v>265</v>
      </c>
      <c r="C140" s="31">
        <f ca="1">198.004648412432*OFFSET($L$113,MATCH($N$1,$C$113:$C$114,0)-1,0)</f>
        <v>198.004648412432</v>
      </c>
      <c r="D140" s="31">
        <f ca="1">254.28711825885*OFFSET($L$113,MATCH($N$1,$C$113:$C$114,0)-1,0)</f>
        <v>254.28711825885</v>
      </c>
      <c r="E140" s="31">
        <f ca="1">598.275603731504*OFFSET($L$113,MATCH($N$1,$C$113:$C$114,0)-1,0)</f>
        <v>598.27560373150402</v>
      </c>
      <c r="F140" s="68">
        <f ca="1">262.879205845229*OFFSET($L$113,MATCH($N$1,$C$113:$C$114,0)-1,0)</f>
        <v>262.87920584522902</v>
      </c>
      <c r="I140" s="43"/>
      <c r="K140" s="69" t="s">
        <v>266</v>
      </c>
      <c r="L140" s="70">
        <f t="shared" ref="L140:M142" ca="1" si="2">C141</f>
        <v>1069.249875</v>
      </c>
      <c r="M140" s="70">
        <f t="shared" ca="1" si="2"/>
        <v>543.46990625000001</v>
      </c>
      <c r="N140" s="70">
        <f ca="1">E141</f>
        <v>217.814328125</v>
      </c>
      <c r="O140" s="70"/>
    </row>
    <row r="141" spans="1:15" ht="18" customHeight="1">
      <c r="A141" s="179" t="s">
        <v>267</v>
      </c>
      <c r="B141" s="35" t="s">
        <v>268</v>
      </c>
      <c r="C141" s="71">
        <f ca="1">1069.249875*OFFSET($L$113,MATCH($N$1,$C$113:$C$114,0)-1,0)</f>
        <v>1069.249875</v>
      </c>
      <c r="D141" s="71">
        <f ca="1">543.46990625*OFFSET($L$113,MATCH($N$1,$C$113:$C$114,0)-1,0)</f>
        <v>543.46990625000001</v>
      </c>
      <c r="E141" s="71">
        <f ca="1">217.814328125*OFFSET($L$113,MATCH($N$1,$C$113:$C$114,0)-1,0)</f>
        <v>217.814328125</v>
      </c>
      <c r="F141" s="72">
        <f ca="1">593.501*OFFSET($L$113,MATCH($N$1,$C$113:$C$114,0)-1,0)</f>
        <v>593.50099999999998</v>
      </c>
      <c r="I141" s="43"/>
      <c r="K141" s="69" t="s">
        <v>269</v>
      </c>
      <c r="L141" s="70">
        <f t="shared" ca="1" si="2"/>
        <v>809.86937499999999</v>
      </c>
      <c r="M141" s="70">
        <f t="shared" ca="1" si="2"/>
        <v>439.49656249999998</v>
      </c>
      <c r="N141" s="70">
        <f ca="1">E142</f>
        <v>198.49781250000001</v>
      </c>
      <c r="O141" s="70"/>
    </row>
    <row r="142" spans="1:15" ht="18" customHeight="1">
      <c r="A142" s="180"/>
      <c r="B142" s="37" t="s">
        <v>270</v>
      </c>
      <c r="C142" s="31">
        <f ca="1">809.869375*OFFSET($L$113,MATCH($N$1,$C$113:$C$114,0)-1,0)</f>
        <v>809.86937499999999</v>
      </c>
      <c r="D142" s="31">
        <f ca="1">439.4965625*OFFSET($L$113,MATCH($N$1,$C$113:$C$114,0)-1,0)</f>
        <v>439.49656249999998</v>
      </c>
      <c r="E142" s="31">
        <f ca="1">198.4978125*OFFSET($L$113,MATCH($N$1,$C$113:$C$114,0)-1,0)</f>
        <v>198.49781250000001</v>
      </c>
      <c r="F142" s="68">
        <f ca="1">471.84009375*OFFSET($L$113,MATCH($N$1,$C$113:$C$114,0)-1,0)</f>
        <v>471.84009374999999</v>
      </c>
      <c r="I142" s="43"/>
      <c r="K142" s="69" t="s">
        <v>271</v>
      </c>
      <c r="L142" s="70">
        <f t="shared" ca="1" si="2"/>
        <v>259.38049999999998</v>
      </c>
      <c r="M142" s="70">
        <f t="shared" ca="1" si="2"/>
        <v>103.97334375</v>
      </c>
      <c r="N142" s="70">
        <f ca="1">E143</f>
        <v>19.316515625000001</v>
      </c>
      <c r="O142" s="70"/>
    </row>
    <row r="143" spans="1:15" ht="18" customHeight="1">
      <c r="A143" s="181"/>
      <c r="B143" s="39" t="s">
        <v>272</v>
      </c>
      <c r="C143" s="40">
        <f ca="1">259.3805*OFFSET($L$113,MATCH($N$1,$C$113:$C$114,0)-1,0)</f>
        <v>259.38049999999998</v>
      </c>
      <c r="D143" s="40">
        <f ca="1">103.97334375*OFFSET($L$113,MATCH($N$1,$C$113:$C$114,0)-1,0)</f>
        <v>103.97334375</v>
      </c>
      <c r="E143" s="40">
        <f ca="1">19.316515625*OFFSET($L$113,MATCH($N$1,$C$113:$C$114,0)-1,0)</f>
        <v>19.316515625000001</v>
      </c>
      <c r="F143" s="61">
        <f ca="1">121.6609296875*OFFSET($L$113,MATCH($N$1,$C$113:$C$114,0)-1,0)</f>
        <v>121.6609296875</v>
      </c>
      <c r="I143" s="43"/>
      <c r="K143" s="69" t="s">
        <v>273</v>
      </c>
      <c r="L143" s="73">
        <f ca="1">IFERROR(L141/L$140,"")</f>
        <v>0.75741825548494923</v>
      </c>
      <c r="M143" s="73">
        <f t="shared" ref="M143:N144" ca="1" si="3">IFERROR(M141/M$140,"")</f>
        <v>0.80868610652717254</v>
      </c>
      <c r="N143" s="73">
        <f t="shared" ca="1" si="3"/>
        <v>0.91131659798838138</v>
      </c>
      <c r="O143" s="73"/>
    </row>
    <row r="144" spans="1:15" ht="18" customHeight="1">
      <c r="I144" s="43"/>
      <c r="K144" s="69" t="s">
        <v>274</v>
      </c>
      <c r="L144" s="73">
        <f ca="1">IFERROR(L142/L$140,"")</f>
        <v>0.2425817445150508</v>
      </c>
      <c r="M144" s="73">
        <f t="shared" ca="1" si="3"/>
        <v>0.1913138934728274</v>
      </c>
      <c r="N144" s="73">
        <f t="shared" ca="1" si="3"/>
        <v>8.8683402011618701E-2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174</v>
      </c>
      <c r="C163" s="48">
        <v>0.83894014663889671</v>
      </c>
      <c r="D163" s="48">
        <v>0.53564890508320617</v>
      </c>
      <c r="E163" s="48">
        <v>0.64762058488766561</v>
      </c>
      <c r="F163" s="44">
        <v>12153634</v>
      </c>
      <c r="G163" s="44">
        <v>1</v>
      </c>
      <c r="H163" s="48" t="s">
        <v>174</v>
      </c>
      <c r="I163" s="48">
        <v>0.72838532825560309</v>
      </c>
      <c r="J163" s="48">
        <v>0.60253023221810942</v>
      </c>
      <c r="K163" s="48">
        <v>0.5630024514461246</v>
      </c>
      <c r="L163" s="44">
        <v>12153634</v>
      </c>
      <c r="R163" s="21"/>
      <c r="S163" s="21"/>
    </row>
    <row r="164" spans="1:19" s="43" customFormat="1">
      <c r="A164" s="44">
        <v>2</v>
      </c>
      <c r="B164" s="48" t="s">
        <v>308</v>
      </c>
      <c r="C164" s="48">
        <v>0.11905974870093802</v>
      </c>
      <c r="D164" s="48">
        <v>0.432639581523661</v>
      </c>
      <c r="E164" s="48">
        <v>0.29901971454766485</v>
      </c>
      <c r="F164" s="44">
        <v>3050596</v>
      </c>
      <c r="G164" s="44">
        <v>2</v>
      </c>
      <c r="H164" s="48" t="s">
        <v>308</v>
      </c>
      <c r="I164" s="48">
        <v>4.6252697317955789E-2</v>
      </c>
      <c r="J164" s="48">
        <v>0.23618359621346258</v>
      </c>
      <c r="K164" s="48">
        <v>0.13829666334507126</v>
      </c>
      <c r="L164" s="44">
        <v>3050596</v>
      </c>
      <c r="N164" s="43" t="s">
        <v>278</v>
      </c>
      <c r="R164" s="21"/>
      <c r="S164" s="21"/>
    </row>
    <row r="165" spans="1:19" s="43" customFormat="1">
      <c r="A165" s="44">
        <v>3</v>
      </c>
      <c r="B165" s="48" t="s">
        <v>166</v>
      </c>
      <c r="C165" s="48">
        <v>3.5515238986597315E-2</v>
      </c>
      <c r="D165" s="48">
        <v>1.63645461747172E-2</v>
      </c>
      <c r="E165" s="48">
        <v>4.831396221147774E-2</v>
      </c>
      <c r="F165" s="44">
        <v>553960</v>
      </c>
      <c r="G165" s="44">
        <v>3</v>
      </c>
      <c r="H165" s="48" t="s">
        <v>166</v>
      </c>
      <c r="I165" s="48">
        <v>0.22088530705002316</v>
      </c>
      <c r="J165" s="48">
        <v>0.12398289450432157</v>
      </c>
      <c r="K165" s="48">
        <v>0.29338636048014216</v>
      </c>
      <c r="L165" s="44">
        <v>553960</v>
      </c>
      <c r="N165" s="43" t="s">
        <v>279</v>
      </c>
      <c r="R165" s="21"/>
      <c r="S165" s="21"/>
    </row>
    <row r="166" spans="1:19" s="43" customFormat="1">
      <c r="A166" s="44">
        <v>4</v>
      </c>
      <c r="B166" s="48" t="s">
        <v>159</v>
      </c>
      <c r="C166" s="48">
        <v>0</v>
      </c>
      <c r="D166" s="48">
        <v>1.1167911782741416E-2</v>
      </c>
      <c r="E166" s="48">
        <v>0</v>
      </c>
      <c r="F166" s="44">
        <v>1692097</v>
      </c>
      <c r="G166" s="44">
        <v>4</v>
      </c>
      <c r="H166" s="48" t="s">
        <v>159</v>
      </c>
      <c r="I166" s="48">
        <v>0</v>
      </c>
      <c r="J166" s="48">
        <v>3.4344636752362691E-2</v>
      </c>
      <c r="K166" s="48">
        <v>0</v>
      </c>
      <c r="L166" s="44">
        <v>1692097</v>
      </c>
      <c r="R166" s="21"/>
      <c r="S166" s="21"/>
    </row>
    <row r="167" spans="1:19" s="43" customFormat="1">
      <c r="A167" s="44">
        <v>5</v>
      </c>
      <c r="B167" s="48" t="s">
        <v>533</v>
      </c>
      <c r="C167" s="48">
        <v>0</v>
      </c>
      <c r="D167" s="48">
        <v>3.5059688241986867E-3</v>
      </c>
      <c r="E167" s="48">
        <v>8.8631672543260272E-4</v>
      </c>
      <c r="F167" s="44">
        <v>11115023</v>
      </c>
      <c r="G167" s="44">
        <v>5</v>
      </c>
      <c r="H167" s="48" t="s">
        <v>533</v>
      </c>
      <c r="I167" s="48">
        <v>0</v>
      </c>
      <c r="J167" s="48">
        <v>2.2215579902270023E-3</v>
      </c>
      <c r="K167" s="48">
        <v>4.095795511072438E-4</v>
      </c>
      <c r="L167" s="44">
        <v>11115023</v>
      </c>
      <c r="R167" s="21"/>
      <c r="S167" s="21"/>
    </row>
    <row r="168" spans="1:19" s="43" customFormat="1">
      <c r="A168" s="44">
        <v>6</v>
      </c>
      <c r="B168" s="48" t="s">
        <v>397</v>
      </c>
      <c r="C168" s="48">
        <v>2.8180136817310228E-4</v>
      </c>
      <c r="D168" s="48">
        <v>0</v>
      </c>
      <c r="E168" s="48">
        <v>3.7222281375037585E-3</v>
      </c>
      <c r="F168" s="44">
        <v>2480382</v>
      </c>
      <c r="G168" s="44">
        <v>6</v>
      </c>
      <c r="H168" s="48" t="s">
        <v>397</v>
      </c>
      <c r="I168" s="48">
        <v>1.6582652461524981E-4</v>
      </c>
      <c r="J168" s="48">
        <v>0</v>
      </c>
      <c r="K168" s="48">
        <v>4.521082727583405E-3</v>
      </c>
      <c r="L168" s="44">
        <v>2480382</v>
      </c>
      <c r="R168" s="21"/>
      <c r="S168" s="21"/>
    </row>
    <row r="169" spans="1:19" s="43" customFormat="1">
      <c r="A169" s="44">
        <v>7</v>
      </c>
      <c r="B169" s="48" t="s">
        <v>176</v>
      </c>
      <c r="C169" s="48">
        <v>5.9205111489775064E-3</v>
      </c>
      <c r="D169" s="48">
        <v>0</v>
      </c>
      <c r="E169" s="48">
        <v>0</v>
      </c>
      <c r="F169" s="44">
        <v>3689192</v>
      </c>
      <c r="G169" s="44">
        <v>7</v>
      </c>
      <c r="H169" s="48" t="s">
        <v>176</v>
      </c>
      <c r="I169" s="48">
        <v>4.2048700814866294E-3</v>
      </c>
      <c r="J169" s="48">
        <v>0</v>
      </c>
      <c r="K169" s="48">
        <v>0</v>
      </c>
      <c r="L169" s="44">
        <v>3689192</v>
      </c>
      <c r="R169" s="21"/>
      <c r="S169" s="21"/>
    </row>
    <row r="170" spans="1:19" s="43" customFormat="1">
      <c r="A170" s="44">
        <v>8</v>
      </c>
      <c r="B170" s="48" t="s">
        <v>251</v>
      </c>
      <c r="C170" s="48">
        <v>2.8255315641723122E-4</v>
      </c>
      <c r="D170" s="48">
        <v>6.7308661147547078E-4</v>
      </c>
      <c r="E170" s="48">
        <v>4.3719349025539422E-4</v>
      </c>
      <c r="F170" s="44">
        <v>5920853</v>
      </c>
      <c r="G170" s="44">
        <v>8</v>
      </c>
      <c r="H170" s="48" t="s">
        <v>251</v>
      </c>
      <c r="I170" s="48">
        <v>1.0597077031604396E-4</v>
      </c>
      <c r="J170" s="48">
        <v>7.3708232151670217E-4</v>
      </c>
      <c r="K170" s="48">
        <v>3.8386244997123953E-4</v>
      </c>
      <c r="L170" s="44">
        <v>5920853</v>
      </c>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E86A3098-5627-4647-95C1-A8BA15EDD1CB}">
      <formula1>$C$113:$C$114</formula1>
    </dataValidation>
  </dataValidations>
  <hyperlinks>
    <hyperlink ref="O1:P1" location="Home_page" display="Back to home page" xr:uid="{BD6AD654-28EA-415C-87C9-2C907EFD2AB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63123173-485C-4B6B-9DEE-A3EB22B1F328}">
          <x14:colorSeries rgb="FF323232"/>
          <x14:colorNegative rgb="FFD00000"/>
          <x14:colorAxis rgb="FF000000"/>
          <x14:colorMarkers rgb="FFD00000"/>
          <x14:colorFirst rgb="FFD00000"/>
          <x14:colorLast rgb="FFD00000"/>
          <x14:colorHigh rgb="FFD00000"/>
          <x14:colorLow rgb="FFD00000"/>
          <x14:sparklines>
            <x14:sparkline>
              <xm:f>'Pots and traps over 12m'!D3:N3</xm:f>
              <xm:sqref>C3</xm:sqref>
            </x14:sparkline>
            <x14:sparkline>
              <xm:f>'Pots and traps over 12m'!D4:N4</xm:f>
              <xm:sqref>C4</xm:sqref>
            </x14:sparkline>
            <x14:sparkline>
              <xm:f>'Pots and traps over 12m'!D5:N5</xm:f>
              <xm:sqref>C5</xm:sqref>
            </x14:sparkline>
            <x14:sparkline>
              <xm:f>'Pots and traps over 12m'!D6:N6</xm:f>
              <xm:sqref>C6</xm:sqref>
            </x14:sparkline>
            <x14:sparkline>
              <xm:f>'Pots and traps over 12m'!D7:N7</xm:f>
              <xm:sqref>C7</xm:sqref>
            </x14:sparkline>
            <x14:sparkline>
              <xm:f>'Pots and traps over 12m'!D8:N8</xm:f>
              <xm:sqref>C8</xm:sqref>
            </x14:sparkline>
            <x14:sparkline>
              <xm:f>'Pots and traps over 12m'!D9:N9</xm:f>
              <xm:sqref>C9</xm:sqref>
            </x14:sparkline>
            <x14:sparkline>
              <xm:f>'Pots and traps over 12m'!D10:N10</xm:f>
              <xm:sqref>C10</xm:sqref>
            </x14:sparkline>
            <x14:sparkline>
              <xm:f>'Pots and traps over 12m'!D11:N11</xm:f>
              <xm:sqref>C11</xm:sqref>
            </x14:sparkline>
            <x14:sparkline>
              <xm:f>'Pots and traps over 12m'!D12:N12</xm:f>
              <xm:sqref>C12</xm:sqref>
            </x14:sparkline>
            <x14:sparkline>
              <xm:f>'Pots and traps over 12m'!D13:N13</xm:f>
              <xm:sqref>C13</xm:sqref>
            </x14:sparkline>
            <x14:sparkline>
              <xm:f>'Pots and traps over 12m'!D14:N14</xm:f>
              <xm:sqref>C14</xm:sqref>
            </x14:sparkline>
            <x14:sparkline>
              <xm:f>'Pots and traps over 12m'!D15:N15</xm:f>
              <xm:sqref>C15</xm:sqref>
            </x14:sparkline>
            <x14:sparkline>
              <xm:f>'Pots and traps over 12m'!D16:N16</xm:f>
              <xm:sqref>C16</xm:sqref>
            </x14:sparkline>
            <x14:sparkline>
              <xm:f>'Pots and traps over 12m'!D17:N17</xm:f>
              <xm:sqref>C17</xm:sqref>
            </x14:sparkline>
            <x14:sparkline>
              <xm:f>'Pots and traps over 12m'!D18:N18</xm:f>
              <xm:sqref>C18</xm:sqref>
            </x14:sparkline>
            <x14:sparkline>
              <xm:f>'Pots and traps over 12m'!D19:N19</xm:f>
              <xm:sqref>C19</xm:sqref>
            </x14:sparkline>
            <x14:sparkline>
              <xm:f>'Pots and traps over 12m'!D20:N20</xm:f>
              <xm:sqref>C20</xm:sqref>
            </x14:sparkline>
            <x14:sparkline>
              <xm:f>'Pots and traps over 12m'!D21:N21</xm:f>
              <xm:sqref>C21</xm:sqref>
            </x14:sparkline>
            <x14:sparkline>
              <xm:f>'Pots and traps over 12m'!D22:N22</xm:f>
              <xm:sqref>C22</xm:sqref>
            </x14:sparkline>
            <x14:sparkline>
              <xm:f>'Pots and traps over 12m'!D23:N23</xm:f>
              <xm:sqref>C23</xm:sqref>
            </x14:sparkline>
            <x14:sparkline>
              <xm:f>'Pots and traps over 12m'!D24:N24</xm:f>
              <xm:sqref>C24</xm:sqref>
            </x14:sparkline>
            <x14:sparkline>
              <xm:f>'Pots and traps over 12m'!D25:N25</xm:f>
              <xm:sqref>C25</xm:sqref>
            </x14:sparkline>
            <x14:sparkline>
              <xm:f>'Pots and traps over 12m'!D26:N26</xm:f>
              <xm:sqref>C26</xm:sqref>
            </x14:sparkline>
            <x14:sparkline>
              <xm:f>'Pots and traps over 12m'!D27:N27</xm:f>
              <xm:sqref>C27</xm:sqref>
            </x14:sparkline>
            <x14:sparkline>
              <xm:f>'Pots and traps over 12m'!D28:N28</xm:f>
              <xm:sqref>C28</xm:sqref>
            </x14:sparkline>
            <x14:sparkline>
              <xm:f>'Pots and traps over 12m'!D29:N29</xm:f>
              <xm:sqref>C29</xm:sqref>
            </x14:sparkline>
            <x14:sparkline>
              <xm:f>'Pots and traps over 12m'!D30:N30</xm:f>
              <xm:sqref>C30</xm:sqref>
            </x14:sparkline>
            <x14:sparkline>
              <xm:f>'Pots and traps over 12m'!D31:N31</xm:f>
              <xm:sqref>C31</xm:sqref>
            </x14:sparkline>
            <x14:sparkline>
              <xm:f>'Pots and traps over 12m'!D32:N32</xm:f>
              <xm:sqref>C32</xm:sqref>
            </x14:sparkline>
            <x14:sparkline>
              <xm:f>'Pots and traps over 12m'!D33:N33</xm:f>
              <xm:sqref>C33</xm:sqref>
            </x14:sparkline>
            <x14:sparkline>
              <xm:f>'Pots and traps over 12m'!D34:N34</xm:f>
              <xm:sqref>C34</xm:sqref>
            </x14:sparkline>
            <x14:sparkline>
              <xm:f>'Pots and traps over 12m'!D35:N35</xm:f>
              <xm:sqref>C35</xm:sqref>
            </x14:sparkline>
            <x14:sparkline>
              <xm:f>'Pots and traps over 12m'!D36:N36</xm:f>
              <xm:sqref>C36</xm:sqref>
            </x14:sparkline>
            <x14:sparkline>
              <xm:f>'Pots and traps over 12m'!D37:N37</xm:f>
              <xm:sqref>C37</xm:sqref>
            </x14:sparkline>
            <x14:sparkline>
              <xm:f>'Pots and traps over 12m'!D38:N38</xm:f>
              <xm:sqref>C38</xm:sqref>
            </x14:sparkline>
            <x14:sparkline>
              <xm:f>'Pots and traps over 12m'!D39:N39</xm:f>
              <xm:sqref>C39</xm:sqref>
            </x14:sparkline>
            <x14:sparkline>
              <xm:f>'Pots and traps over 12m'!D40:N40</xm:f>
              <xm:sqref>C40</xm:sqref>
            </x14:sparkline>
            <x14:sparkline>
              <xm:f>'Pots and traps over 12m'!D41:N41</xm:f>
              <xm:sqref>C41</xm:sqref>
            </x14:sparkline>
            <x14:sparkline>
              <xm:f>'Pots and traps over 12m'!D42:N42</xm:f>
              <xm:sqref>C42</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2B2E0-8D58-4523-AD8B-A8EAFDBA46E2}">
  <sheetPr codeName="Feuil29">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30</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19</v>
      </c>
      <c r="E3" s="28">
        <v>19</v>
      </c>
      <c r="F3" s="28">
        <v>20</v>
      </c>
      <c r="G3" s="28">
        <v>22</v>
      </c>
      <c r="H3" s="28">
        <v>23</v>
      </c>
      <c r="I3" s="28">
        <v>26</v>
      </c>
      <c r="J3" s="28">
        <v>26</v>
      </c>
      <c r="K3" s="28">
        <v>26</v>
      </c>
      <c r="L3" s="28">
        <v>24</v>
      </c>
      <c r="M3" s="28">
        <v>23</v>
      </c>
      <c r="N3" s="28">
        <v>22</v>
      </c>
      <c r="O3" s="29">
        <f t="shared" ref="O3:O42" si="0">IF(N3=0,"",IFERROR(IF(AND(N3&gt;0,D3&lt;0),"na",IF(AND(N3&lt;0,D3&lt;0),-1,1)*(N3-D3)/D3),""))</f>
        <v>0.15789473684210525</v>
      </c>
      <c r="P3" s="29">
        <f t="shared" ref="P3:P42" si="1">IF(N3=0,"",IFERROR(IF(AND(N3&gt;0,J3&lt;0),"na",IF(AND(N3&lt;0,J3&lt;0),-1,1)*(N3-J3)/J3),""))</f>
        <v>-0.15384615384615385</v>
      </c>
    </row>
    <row r="4" spans="1:17" ht="18" customHeight="1">
      <c r="A4" s="185"/>
      <c r="B4" s="30" t="s">
        <v>190</v>
      </c>
      <c r="C4" s="31"/>
      <c r="D4" s="31">
        <v>11526</v>
      </c>
      <c r="E4" s="31">
        <v>11424</v>
      </c>
      <c r="F4" s="31">
        <v>12125</v>
      </c>
      <c r="G4" s="31">
        <v>13465</v>
      </c>
      <c r="H4" s="31">
        <v>13971</v>
      </c>
      <c r="I4" s="31">
        <v>16196</v>
      </c>
      <c r="J4" s="31">
        <v>16196</v>
      </c>
      <c r="K4" s="31">
        <v>16245</v>
      </c>
      <c r="L4" s="31">
        <v>14716</v>
      </c>
      <c r="M4" s="31">
        <v>14525</v>
      </c>
      <c r="N4" s="31">
        <v>14151</v>
      </c>
      <c r="O4" s="29">
        <f t="shared" si="0"/>
        <v>0.22774596564289432</v>
      </c>
      <c r="P4" s="29">
        <f t="shared" si="1"/>
        <v>-0.12626574462830328</v>
      </c>
    </row>
    <row r="5" spans="1:17" ht="18" customHeight="1">
      <c r="A5" s="185"/>
      <c r="B5" s="30" t="s">
        <v>191</v>
      </c>
      <c r="C5" s="31"/>
      <c r="D5" s="31">
        <v>3087</v>
      </c>
      <c r="E5" s="31">
        <v>3141</v>
      </c>
      <c r="F5" s="31">
        <v>3308</v>
      </c>
      <c r="G5" s="31">
        <v>3773</v>
      </c>
      <c r="H5" s="31">
        <v>3893</v>
      </c>
      <c r="I5" s="31">
        <v>4444</v>
      </c>
      <c r="J5" s="31">
        <v>4444</v>
      </c>
      <c r="K5" s="31">
        <v>4609</v>
      </c>
      <c r="L5" s="31">
        <v>4510</v>
      </c>
      <c r="M5" s="31">
        <v>4744</v>
      </c>
      <c r="N5" s="31">
        <v>4737</v>
      </c>
      <c r="O5" s="29">
        <f t="shared" si="0"/>
        <v>0.53449951409135088</v>
      </c>
      <c r="P5" s="29">
        <f t="shared" si="1"/>
        <v>6.5931593159315932E-2</v>
      </c>
      <c r="Q5" s="32"/>
    </row>
    <row r="6" spans="1:17" ht="18" customHeight="1">
      <c r="A6" s="185"/>
      <c r="B6" s="30" t="s">
        <v>192</v>
      </c>
      <c r="C6" s="31"/>
      <c r="D6" s="31">
        <v>8862.1005859375</v>
      </c>
      <c r="E6" s="31">
        <v>8853.3505859375</v>
      </c>
      <c r="F6" s="31">
        <v>9365.8505859375</v>
      </c>
      <c r="G6" s="31">
        <v>10416.4150390625</v>
      </c>
      <c r="H6" s="31">
        <v>10847.42578125</v>
      </c>
      <c r="I6" s="31">
        <v>12544.0810546875</v>
      </c>
      <c r="J6" s="31">
        <v>12544.0810546875</v>
      </c>
      <c r="K6" s="31">
        <v>12698.7822265625</v>
      </c>
      <c r="L6" s="31">
        <v>11728.4375</v>
      </c>
      <c r="M6" s="31">
        <v>11679.3837890625</v>
      </c>
      <c r="N6" s="31">
        <v>11430.5</v>
      </c>
      <c r="O6" s="29">
        <f t="shared" si="0"/>
        <v>0.28981835504531178</v>
      </c>
      <c r="P6" s="29">
        <f t="shared" si="1"/>
        <v>-8.8773426274328368E-2</v>
      </c>
    </row>
    <row r="7" spans="1:17" ht="18" customHeight="1">
      <c r="A7" s="185"/>
      <c r="B7" s="30" t="s">
        <v>193</v>
      </c>
      <c r="C7" s="31"/>
      <c r="D7" s="31">
        <v>5797.1298828125</v>
      </c>
      <c r="E7" s="31">
        <v>5539.44287109375</v>
      </c>
      <c r="F7" s="31">
        <v>5359.58837890625</v>
      </c>
      <c r="G7" s="31">
        <v>6152.73388671875</v>
      </c>
      <c r="H7" s="31">
        <v>6505.96044921875</v>
      </c>
      <c r="I7" s="31">
        <v>7743.21240234375</v>
      </c>
      <c r="J7" s="31">
        <v>6921.72607421875</v>
      </c>
      <c r="K7" s="31">
        <v>7261.92578125</v>
      </c>
      <c r="L7" s="31">
        <v>6728.6201171875</v>
      </c>
      <c r="M7" s="31">
        <v>6611.29443359375</v>
      </c>
      <c r="N7" s="31">
        <v>7011.2685546875</v>
      </c>
      <c r="O7" s="29">
        <f t="shared" si="0"/>
        <v>0.20943789365056556</v>
      </c>
      <c r="P7" s="29">
        <f t="shared" si="1"/>
        <v>1.2936438037076841E-2</v>
      </c>
    </row>
    <row r="8" spans="1:17" ht="18" customHeight="1">
      <c r="A8" s="185"/>
      <c r="B8" s="30" t="s">
        <v>194</v>
      </c>
      <c r="C8" s="33"/>
      <c r="D8" s="33">
        <f ca="1">17.36286*OFFSET(D$113,MATCH($N$1,$C$113:$C$114,0)-1,0)</f>
        <v>17.362860000000001</v>
      </c>
      <c r="E8" s="33">
        <f ca="1">16.47411*OFFSET(E$113,MATCH($N$1,$C$113:$C$114,0)-1,0)</f>
        <v>16.47411</v>
      </c>
      <c r="F8" s="33">
        <f ca="1">16.35774*OFFSET(F$113,MATCH($N$1,$C$113:$C$114,0)-1,0)</f>
        <v>16.35774</v>
      </c>
      <c r="G8" s="33">
        <f ca="1">17.545518*OFFSET(G$113,MATCH($N$1,$C$113:$C$114,0)-1,0)</f>
        <v>17.545518000000001</v>
      </c>
      <c r="H8" s="33">
        <f ca="1">22.55482*OFFSET(H$113,MATCH($N$1,$C$113:$C$114,0)-1,0)</f>
        <v>22.554819999999999</v>
      </c>
      <c r="I8" s="33">
        <f ca="1">29.76799*OFFSET(I$113,MATCH($N$1,$C$113:$C$114,0)-1,0)</f>
        <v>29.767990000000001</v>
      </c>
      <c r="J8" s="33">
        <f ca="1">28.29591*OFFSET(J$113,MATCH($N$1,$C$113:$C$114,0)-1,0)</f>
        <v>28.295909999999999</v>
      </c>
      <c r="K8" s="33">
        <f ca="1">27.628248*OFFSET(K$113,MATCH($N$1,$C$113:$C$114,0)-1,0)</f>
        <v>27.628247999999999</v>
      </c>
      <c r="L8" s="33">
        <f ca="1">22.718338*OFFSET(L$113,MATCH($N$1,$C$113:$C$114,0)-1,0)</f>
        <v>22.718337999999999</v>
      </c>
      <c r="M8" s="33">
        <f ca="1">26.1111*OFFSET(M$113,MATCH($N$1,$C$113:$C$114,0)-1,0)</f>
        <v>26.1111</v>
      </c>
      <c r="N8" s="33">
        <v>31.483709999999999</v>
      </c>
      <c r="O8" s="29">
        <f t="shared" ca="1" si="0"/>
        <v>0.81327903352327879</v>
      </c>
      <c r="P8" s="29">
        <f t="shared" ca="1" si="1"/>
        <v>0.112659391410278</v>
      </c>
    </row>
    <row r="9" spans="1:17" ht="18" customHeight="1">
      <c r="A9" s="185"/>
      <c r="B9" s="30" t="s">
        <v>195</v>
      </c>
      <c r="C9" s="31"/>
      <c r="D9" s="31">
        <v>4115</v>
      </c>
      <c r="E9" s="31">
        <v>4099</v>
      </c>
      <c r="F9" s="31">
        <v>4315</v>
      </c>
      <c r="G9" s="31">
        <v>4443</v>
      </c>
      <c r="H9" s="31">
        <v>4806</v>
      </c>
      <c r="I9" s="31">
        <v>5861</v>
      </c>
      <c r="J9" s="31">
        <v>5474</v>
      </c>
      <c r="K9" s="31">
        <v>5237</v>
      </c>
      <c r="L9" s="31">
        <v>5108</v>
      </c>
      <c r="M9" s="31">
        <v>4933</v>
      </c>
      <c r="N9" s="31">
        <v>4867</v>
      </c>
      <c r="O9" s="29">
        <f t="shared" si="0"/>
        <v>0.18274605103280681</v>
      </c>
      <c r="P9" s="29">
        <f t="shared" si="1"/>
        <v>-0.11088783339422725</v>
      </c>
    </row>
    <row r="10" spans="1:17" ht="18" customHeight="1">
      <c r="A10" s="185"/>
      <c r="B10" s="30" t="s">
        <v>196</v>
      </c>
      <c r="C10" s="31"/>
      <c r="D10" s="31">
        <v>10698</v>
      </c>
      <c r="E10" s="31">
        <v>10486.4</v>
      </c>
      <c r="F10" s="31">
        <v>11020.4</v>
      </c>
      <c r="G10" s="31">
        <v>11311.800000000001</v>
      </c>
      <c r="H10" s="31">
        <v>12578</v>
      </c>
      <c r="I10" s="31">
        <v>15344.2</v>
      </c>
      <c r="J10" s="31">
        <v>14506.800000000001</v>
      </c>
      <c r="K10" s="31">
        <v>14184.2</v>
      </c>
      <c r="L10" s="31">
        <v>13829</v>
      </c>
      <c r="M10" s="31">
        <v>14058.6</v>
      </c>
      <c r="N10" s="31">
        <v>14180.800000000001</v>
      </c>
      <c r="O10" s="29">
        <f t="shared" si="0"/>
        <v>0.32555617872499543</v>
      </c>
      <c r="P10" s="29">
        <f t="shared" si="1"/>
        <v>-2.2472219924449224E-2</v>
      </c>
    </row>
    <row r="11" spans="1:17" ht="18" customHeight="1">
      <c r="A11" s="185"/>
      <c r="B11" s="30" t="s">
        <v>197</v>
      </c>
      <c r="C11" s="31"/>
      <c r="D11" s="31">
        <v>172.806640625</v>
      </c>
      <c r="E11" s="31">
        <v>146.4803466796875</v>
      </c>
      <c r="F11" s="31">
        <v>121.75289916992188</v>
      </c>
      <c r="G11" s="31">
        <v>132.24479675292969</v>
      </c>
      <c r="H11" s="31">
        <v>154.61082458496094</v>
      </c>
      <c r="I11" s="31">
        <v>179.05621337890625</v>
      </c>
      <c r="J11" s="31">
        <v>119.22339630126953</v>
      </c>
      <c r="K11" s="31">
        <v>155.13217163085938</v>
      </c>
      <c r="L11" s="31">
        <v>162.90936279296875</v>
      </c>
      <c r="M11" s="31">
        <v>223.9378662109375</v>
      </c>
      <c r="N11" s="31">
        <v>227.00590515136719</v>
      </c>
      <c r="O11" s="34">
        <f t="shared" si="0"/>
        <v>0.31364109811024332</v>
      </c>
      <c r="P11" s="34">
        <f t="shared" si="1"/>
        <v>0.90403823573133646</v>
      </c>
    </row>
    <row r="12" spans="1:17" ht="18" customHeight="1">
      <c r="A12" s="186" t="s">
        <v>198</v>
      </c>
      <c r="B12" s="35" t="s">
        <v>199</v>
      </c>
      <c r="C12" s="36"/>
      <c r="D12" s="36">
        <v>28.5321044921875</v>
      </c>
      <c r="E12" s="36">
        <v>28.159473419189453</v>
      </c>
      <c r="F12" s="36">
        <v>28.159000396728516</v>
      </c>
      <c r="G12" s="36">
        <v>28.316818237304688</v>
      </c>
      <c r="H12" s="36">
        <v>28.414783477783203</v>
      </c>
      <c r="I12" s="36">
        <v>28.788461685180664</v>
      </c>
      <c r="J12" s="36">
        <v>28.788461685180664</v>
      </c>
      <c r="K12" s="36">
        <v>29.200769424438477</v>
      </c>
      <c r="L12" s="36">
        <v>29.592500686645508</v>
      </c>
      <c r="M12" s="36">
        <v>30.396522521972656</v>
      </c>
      <c r="N12" s="36">
        <v>30.880455017089844</v>
      </c>
      <c r="O12" s="29">
        <f t="shared" si="0"/>
        <v>8.2305549019188393E-2</v>
      </c>
      <c r="P12" s="29">
        <f t="shared" si="1"/>
        <v>7.2667770677933369E-2</v>
      </c>
    </row>
    <row r="13" spans="1:17" ht="18" customHeight="1">
      <c r="A13" s="187"/>
      <c r="B13" s="37" t="s">
        <v>190</v>
      </c>
      <c r="C13" s="31"/>
      <c r="D13" s="31">
        <v>606.631591796875</v>
      </c>
      <c r="E13" s="31">
        <v>601.26318359375</v>
      </c>
      <c r="F13" s="31">
        <v>606.25</v>
      </c>
      <c r="G13" s="31">
        <v>612.04547119140625</v>
      </c>
      <c r="H13" s="31">
        <v>607.43475341796875</v>
      </c>
      <c r="I13" s="31">
        <v>622.923095703125</v>
      </c>
      <c r="J13" s="31">
        <v>622.923095703125</v>
      </c>
      <c r="K13" s="31">
        <v>624.80767822265625</v>
      </c>
      <c r="L13" s="31">
        <v>613.16668701171875</v>
      </c>
      <c r="M13" s="31">
        <v>631.521728515625</v>
      </c>
      <c r="N13" s="31">
        <v>643.227294921875</v>
      </c>
      <c r="O13" s="29">
        <f t="shared" si="0"/>
        <v>6.0326075364129296E-2</v>
      </c>
      <c r="P13" s="29">
        <f t="shared" si="1"/>
        <v>3.2595033574460128E-2</v>
      </c>
    </row>
    <row r="14" spans="1:17" ht="18" customHeight="1">
      <c r="A14" s="187"/>
      <c r="B14" s="37" t="s">
        <v>191</v>
      </c>
      <c r="C14" s="31"/>
      <c r="D14" s="31">
        <v>162.47367858886719</v>
      </c>
      <c r="E14" s="31">
        <v>165.3157958984375</v>
      </c>
      <c r="F14" s="31">
        <v>165.39999389648438</v>
      </c>
      <c r="G14" s="31">
        <v>171.5</v>
      </c>
      <c r="H14" s="31">
        <v>169.2608642578125</v>
      </c>
      <c r="I14" s="31">
        <v>170.92308044433594</v>
      </c>
      <c r="J14" s="31">
        <v>170.92308044433594</v>
      </c>
      <c r="K14" s="31">
        <v>177.26922607421875</v>
      </c>
      <c r="L14" s="31">
        <v>187.91667175292969</v>
      </c>
      <c r="M14" s="31">
        <v>206.2608642578125</v>
      </c>
      <c r="N14" s="31">
        <v>215.31817626953125</v>
      </c>
      <c r="O14" s="29">
        <f t="shared" si="0"/>
        <v>0.32524959205475273</v>
      </c>
      <c r="P14" s="29">
        <f t="shared" si="1"/>
        <v>0.25973727895486498</v>
      </c>
    </row>
    <row r="15" spans="1:17" ht="18" customHeight="1">
      <c r="A15" s="187"/>
      <c r="B15" s="37" t="s">
        <v>192</v>
      </c>
      <c r="C15" s="31"/>
      <c r="D15" s="31">
        <v>466.42633056640625</v>
      </c>
      <c r="E15" s="31">
        <v>465.9658203125</v>
      </c>
      <c r="F15" s="31">
        <v>468.29254150390625</v>
      </c>
      <c r="G15" s="31">
        <v>473.473388671875</v>
      </c>
      <c r="H15" s="31">
        <v>471.627197265625</v>
      </c>
      <c r="I15" s="31">
        <v>482.46466064453125</v>
      </c>
      <c r="J15" s="31">
        <v>482.46466064453125</v>
      </c>
      <c r="K15" s="31">
        <v>488.4146728515625</v>
      </c>
      <c r="L15" s="31">
        <v>488.68490600585938</v>
      </c>
      <c r="M15" s="31">
        <v>507.79928588867188</v>
      </c>
      <c r="N15" s="31">
        <v>519.56817626953125</v>
      </c>
      <c r="O15" s="29">
        <f t="shared" si="0"/>
        <v>0.11393406036617194</v>
      </c>
      <c r="P15" s="29">
        <f t="shared" si="1"/>
        <v>7.6904110604563036E-2</v>
      </c>
    </row>
    <row r="16" spans="1:17" ht="18" customHeight="1">
      <c r="A16" s="187"/>
      <c r="B16" s="37" t="s">
        <v>193</v>
      </c>
      <c r="C16" s="33"/>
      <c r="D16" s="33">
        <v>305.11212158203125</v>
      </c>
      <c r="E16" s="33">
        <v>291.54962158203125</v>
      </c>
      <c r="F16" s="33">
        <v>267.97943115234375</v>
      </c>
      <c r="G16" s="33">
        <v>279.66970825195313</v>
      </c>
      <c r="H16" s="33">
        <v>282.86782836914063</v>
      </c>
      <c r="I16" s="33">
        <v>297.81585693359375</v>
      </c>
      <c r="J16" s="33">
        <v>266.22024536132813</v>
      </c>
      <c r="K16" s="33">
        <v>279.30484008789063</v>
      </c>
      <c r="L16" s="33">
        <v>280.35919189453125</v>
      </c>
      <c r="M16" s="33">
        <v>287.44757080078125</v>
      </c>
      <c r="N16" s="33">
        <v>318.69403076171875</v>
      </c>
      <c r="O16" s="29">
        <f t="shared" si="0"/>
        <v>4.451448572172155E-2</v>
      </c>
      <c r="P16" s="29">
        <f t="shared" si="1"/>
        <v>0.1971066675608027</v>
      </c>
    </row>
    <row r="17" spans="1:16" ht="18" customHeight="1">
      <c r="A17" s="187"/>
      <c r="B17" s="37" t="s">
        <v>200</v>
      </c>
      <c r="C17" s="33"/>
      <c r="D17" s="33">
        <f ca="1">913.83475*OFFSET(D$113,MATCH($N$1,$C$113:$C$114,0)-1,0)</f>
        <v>913.83474999999999</v>
      </c>
      <c r="E17" s="33">
        <f ca="1">867.0584375*OFFSET(E$113,MATCH($N$1,$C$113:$C$114,0)-1,0)</f>
        <v>867.05843749999997</v>
      </c>
      <c r="F17" s="33">
        <f ca="1">817.887*OFFSET(F$113,MATCH($N$1,$C$113:$C$114,0)-1,0)</f>
        <v>817.88699999999994</v>
      </c>
      <c r="G17" s="33">
        <f ca="1">797.5235625*OFFSET(G$113,MATCH($N$1,$C$113:$C$114,0)-1,0)</f>
        <v>797.52356250000003</v>
      </c>
      <c r="H17" s="33">
        <f ca="1">980.6443125*OFFSET(H$113,MATCH($N$1,$C$113:$C$114,0)-1,0)</f>
        <v>980.64431249999996</v>
      </c>
      <c r="I17" s="33">
        <f ca="1">1144.92275*OFFSET(I$113,MATCH($N$1,$C$113:$C$114,0)-1,0)</f>
        <v>1144.92275</v>
      </c>
      <c r="J17" s="33">
        <f ca="1">1088.30425*OFFSET(J$113,MATCH($N$1,$C$113:$C$114,0)-1,0)</f>
        <v>1088.3042499999999</v>
      </c>
      <c r="K17" s="33">
        <f ca="1">1062.624875*OFFSET(K$113,MATCH($N$1,$C$113:$C$114,0)-1,0)</f>
        <v>1062.624875</v>
      </c>
      <c r="L17" s="33">
        <f ca="1">946.5974375*OFFSET(L$113,MATCH($N$1,$C$113:$C$114,0)-1,0)</f>
        <v>946.59743749999996</v>
      </c>
      <c r="M17" s="33">
        <f ca="1">1135.265125*OFFSET(M$113,MATCH($N$1,$C$113:$C$114,0)-1,0)</f>
        <v>1135.2651249999999</v>
      </c>
      <c r="N17" s="33">
        <v>1431.0777499999999</v>
      </c>
      <c r="O17" s="29">
        <f t="shared" ca="1" si="0"/>
        <v>0.56601371309200044</v>
      </c>
      <c r="P17" s="29">
        <f t="shared" ca="1" si="1"/>
        <v>0.31496109658673116</v>
      </c>
    </row>
    <row r="18" spans="1:16" ht="18" customHeight="1">
      <c r="A18" s="187"/>
      <c r="B18" s="37" t="s">
        <v>195</v>
      </c>
      <c r="C18" s="31"/>
      <c r="D18" s="31">
        <v>216.57894897460938</v>
      </c>
      <c r="E18" s="31">
        <v>215.73684692382813</v>
      </c>
      <c r="F18" s="31">
        <v>215.75</v>
      </c>
      <c r="G18" s="31">
        <v>201.95454406738281</v>
      </c>
      <c r="H18" s="31">
        <v>208.95652770996094</v>
      </c>
      <c r="I18" s="31">
        <v>225.42308044433594</v>
      </c>
      <c r="J18" s="31">
        <v>210.53846740722656</v>
      </c>
      <c r="K18" s="31">
        <v>201.42308044433594</v>
      </c>
      <c r="L18" s="31">
        <v>212.83332824707031</v>
      </c>
      <c r="M18" s="31">
        <v>214.47825622558594</v>
      </c>
      <c r="N18" s="31">
        <v>221.22727966308594</v>
      </c>
      <c r="O18" s="29">
        <f t="shared" si="0"/>
        <v>2.1462523068303881E-2</v>
      </c>
      <c r="P18" s="29">
        <f t="shared" si="1"/>
        <v>5.0768927823460021E-2</v>
      </c>
    </row>
    <row r="19" spans="1:16" ht="18" customHeight="1">
      <c r="A19" s="187"/>
      <c r="B19" s="37" t="s">
        <v>201</v>
      </c>
      <c r="C19" s="31"/>
      <c r="D19" s="31">
        <v>40.052631378173828</v>
      </c>
      <c r="E19" s="31">
        <v>39.263156890869141</v>
      </c>
      <c r="F19" s="31">
        <v>40.549999237060547</v>
      </c>
      <c r="G19" s="31">
        <v>40.136363983154297</v>
      </c>
      <c r="H19" s="31">
        <v>41.826087951660156</v>
      </c>
      <c r="I19" s="31">
        <v>43.115383148193359</v>
      </c>
      <c r="J19" s="31">
        <v>44.115383148193359</v>
      </c>
      <c r="K19" s="31">
        <v>44.538459777832031</v>
      </c>
      <c r="L19" s="31">
        <v>42.958332061767578</v>
      </c>
      <c r="M19" s="31">
        <v>42.260868072509766</v>
      </c>
      <c r="N19" s="31">
        <v>41.909091949462891</v>
      </c>
      <c r="O19" s="29">
        <f t="shared" si="0"/>
        <v>4.6350526979376368E-2</v>
      </c>
      <c r="P19" s="29">
        <f t="shared" si="1"/>
        <v>-5.0011833543846758E-2</v>
      </c>
    </row>
    <row r="20" spans="1:16" ht="18" customHeight="1">
      <c r="A20" s="187"/>
      <c r="B20" s="37" t="s">
        <v>202</v>
      </c>
      <c r="C20" s="38"/>
      <c r="D20" s="38">
        <v>1.4087800979614258</v>
      </c>
      <c r="E20" s="38">
        <v>1.3514132499694824</v>
      </c>
      <c r="F20" s="38">
        <v>1.2420830726623535</v>
      </c>
      <c r="G20" s="38">
        <v>1.3848150968551636</v>
      </c>
      <c r="H20" s="38">
        <v>1.3537161350250244</v>
      </c>
      <c r="I20" s="38">
        <v>1.3211418390274048</v>
      </c>
      <c r="J20" s="38">
        <v>1.2644731998443604</v>
      </c>
      <c r="K20" s="38">
        <v>1.3866575956344604</v>
      </c>
      <c r="L20" s="38">
        <v>1.3172711133956909</v>
      </c>
      <c r="M20" s="38">
        <v>1.3402178287506104</v>
      </c>
      <c r="N20" s="38">
        <v>1.44057297706604</v>
      </c>
      <c r="O20" s="29">
        <f t="shared" si="0"/>
        <v>2.2567666274261058E-2</v>
      </c>
      <c r="P20" s="29">
        <f t="shared" si="1"/>
        <v>0.13926730692540989</v>
      </c>
    </row>
    <row r="21" spans="1:16" ht="18" customHeight="1">
      <c r="A21" s="188"/>
      <c r="B21" s="39" t="s">
        <v>203</v>
      </c>
      <c r="C21" s="40"/>
      <c r="D21" s="40">
        <f ca="1">2995*OFFSET(D$113,MATCH($N$1,$C$113:$C$114,0)-1,0)</f>
        <v>2995</v>
      </c>
      <c r="E21" s="40">
        <f ca="1">2974*OFFSET(E$113,MATCH($N$1,$C$113:$C$114,0)-1,0)</f>
        <v>2974</v>
      </c>
      <c r="F21" s="40">
        <f ca="1">3052*OFFSET(F$113,MATCH($N$1,$C$113:$C$114,0)-1,0)</f>
        <v>3052</v>
      </c>
      <c r="G21" s="40">
        <f ca="1">2852*OFFSET(G$113,MATCH($N$1,$C$113:$C$114,0)-1,0)</f>
        <v>2852</v>
      </c>
      <c r="H21" s="40">
        <f ca="1">3467*OFFSET(H$113,MATCH($N$1,$C$113:$C$114,0)-1,0)</f>
        <v>3467</v>
      </c>
      <c r="I21" s="40">
        <f ca="1">3844*OFFSET(I$113,MATCH($N$1,$C$113:$C$114,0)-1,0)</f>
        <v>3844</v>
      </c>
      <c r="J21" s="40">
        <f ca="1">4088*OFFSET(J$113,MATCH($N$1,$C$113:$C$114,0)-1,0)</f>
        <v>4088</v>
      </c>
      <c r="K21" s="40">
        <f ca="1">3805*OFFSET(K$113,MATCH($N$1,$C$113:$C$114,0)-1,0)</f>
        <v>3805</v>
      </c>
      <c r="L21" s="40">
        <f ca="1">3376*OFFSET(L$113,MATCH($N$1,$C$113:$C$114,0)-1,0)</f>
        <v>3376</v>
      </c>
      <c r="M21" s="40">
        <f ca="1">3949*OFFSET(M$113,MATCH($N$1,$C$113:$C$114,0)-1,0)</f>
        <v>3949</v>
      </c>
      <c r="N21" s="40">
        <v>4490</v>
      </c>
      <c r="O21" s="34">
        <f t="shared" ca="1" si="0"/>
        <v>0.4991652754590985</v>
      </c>
      <c r="P21" s="34">
        <f t="shared" ca="1" si="1"/>
        <v>9.8336594911937372E-2</v>
      </c>
    </row>
    <row r="22" spans="1:16" ht="18" customHeight="1">
      <c r="A22" s="189" t="s">
        <v>204</v>
      </c>
      <c r="B22" s="35" t="s">
        <v>205</v>
      </c>
      <c r="C22" s="41"/>
      <c r="D22" s="41">
        <v>2.284056788630092</v>
      </c>
      <c r="E22" s="41">
        <v>2.176908811754287</v>
      </c>
      <c r="F22" s="41">
        <v>2.0186501234681971</v>
      </c>
      <c r="G22" s="41">
        <v>2.2926983898693432</v>
      </c>
      <c r="H22" s="41">
        <v>2.1799462159080503</v>
      </c>
      <c r="I22" s="41">
        <v>2.1026288459279123</v>
      </c>
      <c r="J22" s="41">
        <v>1.9874593747907627</v>
      </c>
      <c r="K22" s="41">
        <v>2.1992680264245439</v>
      </c>
      <c r="L22" s="41">
        <v>2.1116023440825491</v>
      </c>
      <c r="M22" s="41">
        <v>2.0939237512531688</v>
      </c>
      <c r="N22" s="41">
        <v>2.2147022736879847</v>
      </c>
      <c r="O22" s="29">
        <f t="shared" si="0"/>
        <v>-3.0364619341931534E-2</v>
      </c>
      <c r="P22" s="29">
        <f t="shared" si="1"/>
        <v>0.11433838687703782</v>
      </c>
    </row>
    <row r="23" spans="1:16" ht="18" customHeight="1">
      <c r="A23" s="189"/>
      <c r="B23" s="37" t="s">
        <v>206</v>
      </c>
      <c r="C23" s="38"/>
      <c r="D23" s="38">
        <f ca="1">6.84092933968345*OFFSET(D$113,MATCH($N$1,$C$113:$C$114,0)-1,0)</f>
        <v>6.8409293396834503</v>
      </c>
      <c r="E23" s="38">
        <f ca="1">6.47405111575005*OFFSET(E$113,MATCH($N$1,$C$113:$C$114,0)-1,0)</f>
        <v>6.4740511157500498</v>
      </c>
      <c r="F23" s="38">
        <f ca="1">6.16102395035849*OFFSET(F$113,MATCH($N$1,$C$113:$C$114,0)-1,0)</f>
        <v>6.1610239503584898</v>
      </c>
      <c r="G23" s="38">
        <f ca="1">6.53800155567561*OFFSET(G$113,MATCH($N$1,$C$113:$C$114,0)-1,0)</f>
        <v>6.5380015556756099</v>
      </c>
      <c r="H23" s="38">
        <f ca="1">7.55742309230152*OFFSET(H$113,MATCH($N$1,$C$113:$C$114,0)-1,0)</f>
        <v>7.5574230923015202</v>
      </c>
      <c r="I23" s="38">
        <f ca="1">8.0833425906059*OFFSET(I$113,MATCH($N$1,$C$113:$C$114,0)-1,0)</f>
        <v>8.0833425906059002</v>
      </c>
      <c r="J23" s="38">
        <f ca="1">8.12470321838764*OFFSET(J$113,MATCH($N$1,$C$113:$C$114,0)-1,0)</f>
        <v>8.1247032183876406</v>
      </c>
      <c r="K23" s="38">
        <f ca="1">8.36719088339278*OFFSET(K$113,MATCH($N$1,$C$113:$C$114,0)-1,0)</f>
        <v>8.3671908833927802</v>
      </c>
      <c r="L23" s="38">
        <f ca="1">7.12955888629997*OFFSET(L$113,MATCH($N$1,$C$113:$C$114,0)-1,0)</f>
        <v>7.1295588862999697</v>
      </c>
      <c r="M23" s="38">
        <f ca="1">8.2698858876578*OFFSET(M$113,MATCH($N$1,$C$113:$C$114,0)-1,0)</f>
        <v>8.2698858876578001</v>
      </c>
      <c r="N23" s="38">
        <v>9.9449968961577184</v>
      </c>
      <c r="O23" s="29">
        <f t="shared" ca="1" si="0"/>
        <v>0.45374939607516868</v>
      </c>
      <c r="P23" s="29">
        <f t="shared" ca="1" si="1"/>
        <v>0.22404432861626639</v>
      </c>
    </row>
    <row r="24" spans="1:16" ht="18" customHeight="1">
      <c r="A24" s="189"/>
      <c r="B24" s="37" t="s">
        <v>153</v>
      </c>
      <c r="C24" s="38"/>
      <c r="D24" s="38">
        <f ca="1">6.80487680100181*OFFSET(D$113,MATCH($N$1,$C$113:$C$114,0)-1,0)</f>
        <v>6.8048768010018099</v>
      </c>
      <c r="E24" s="38">
        <f ca="1">6.38504347527635*OFFSET(E$113,MATCH($N$1,$C$113:$C$114,0)-1,0)</f>
        <v>6.3850434752763503</v>
      </c>
      <c r="F24" s="38">
        <f ca="1">6.13873058450833*OFFSET(F$113,MATCH($N$1,$C$113:$C$114,0)-1,0)</f>
        <v>6.1387305845083304</v>
      </c>
      <c r="G24" s="38">
        <f ca="1">7.59379100340436*OFFSET(G$113,MATCH($N$1,$C$113:$C$114,0)-1,0)</f>
        <v>7.5937910034043599</v>
      </c>
      <c r="H24" s="38">
        <f ca="1">6.31057206193954*OFFSET(H$113,MATCH($N$1,$C$113:$C$114,0)-1,0)</f>
        <v>6.3105720619395402</v>
      </c>
      <c r="I24" s="38">
        <f ca="1">6.76860667142768*OFFSET(I$113,MATCH($N$1,$C$113:$C$114,0)-1,0)</f>
        <v>6.7686066714276798</v>
      </c>
      <c r="J24" s="38">
        <f ca="1">7.21394033193217*OFFSET(J$113,MATCH($N$1,$C$113:$C$114,0)-1,0)</f>
        <v>7.2139403319321698</v>
      </c>
      <c r="K24" s="38">
        <f ca="1">7.65331960667407*OFFSET(K$113,MATCH($N$1,$C$113:$C$114,0)-1,0)</f>
        <v>7.6533196066740699</v>
      </c>
      <c r="L24" s="38">
        <f ca="1">6.94286465566608*OFFSET(L$113,MATCH($N$1,$C$113:$C$114,0)-1,0)</f>
        <v>6.9428646556660798</v>
      </c>
      <c r="M24" s="38">
        <f ca="1">7.25973681406936*OFFSET(M$113,MATCH($N$1,$C$113:$C$114,0)-1,0)</f>
        <v>7.2597368140693597</v>
      </c>
      <c r="N24" s="38">
        <v>9.3462038819907978</v>
      </c>
      <c r="O24" s="29">
        <f t="shared" ca="1" si="0"/>
        <v>0.37345673629460202</v>
      </c>
      <c r="P24" s="29">
        <f t="shared" ca="1" si="1"/>
        <v>0.29557543477595222</v>
      </c>
    </row>
    <row r="25" spans="1:16" ht="18" customHeight="1">
      <c r="A25" s="189"/>
      <c r="B25" s="37" t="s">
        <v>154</v>
      </c>
      <c r="C25" s="38"/>
      <c r="D25" s="38">
        <f ca="1">0.26863132342746*OFFSET(D$113,MATCH($N$1,$C$113:$C$114,0)-1,0)</f>
        <v>0.26863132342745999</v>
      </c>
      <c r="E25" s="38">
        <f ca="1">0.111709572778525*OFFSET(E$113,MATCH($N$1,$C$113:$C$114,0)-1,0)</f>
        <v>0.111709572778525</v>
      </c>
      <c r="F25" s="38">
        <f ca="1">0.517432732490085*OFFSET(F$113,MATCH($N$1,$C$113:$C$114,0)-1,0)</f>
        <v>0.51743273249008503</v>
      </c>
      <c r="G25" s="38">
        <f ca="1">0.618753736679648*OFFSET(G$113,MATCH($N$1,$C$113:$C$114,0)-1,0)</f>
        <v>0.61875373667964795</v>
      </c>
      <c r="H25" s="38">
        <f ca="1">1.24685103036198*OFFSET(H$113,MATCH($N$1,$C$113:$C$114,0)-1,0)</f>
        <v>1.24685103036198</v>
      </c>
      <c r="I25" s="38">
        <f ca="1">1.32868660537929*OFFSET(I$113,MATCH($N$1,$C$113:$C$114,0)-1,0)</f>
        <v>1.3286866053792901</v>
      </c>
      <c r="J25" s="38">
        <f ca="1">0.912622617435933*OFFSET(J$113,MATCH($N$1,$C$113:$C$114,0)-1,0)</f>
        <v>0.91262261743593298</v>
      </c>
      <c r="K25" s="38">
        <f ca="1">0.713903013015851*OFFSET(K$113,MATCH($N$1,$C$113:$C$114,0)-1,0)</f>
        <v>0.71390301301585102</v>
      </c>
      <c r="L25" s="38">
        <f ca="1">0.202443416657909*OFFSET(L$113,MATCH($N$1,$C$113:$C$114,0)-1,0)</f>
        <v>0.20244341665790899</v>
      </c>
      <c r="M25" s="38">
        <f ca="1">1.02274541164944*OFFSET(M$113,MATCH($N$1,$C$113:$C$114,0)-1,0)</f>
        <v>1.0227454116494401</v>
      </c>
      <c r="N25" s="38">
        <v>0.59879301416691999</v>
      </c>
      <c r="O25" s="29">
        <f t="shared" ca="1" si="0"/>
        <v>1.2290513501066653</v>
      </c>
      <c r="P25" s="29">
        <f t="shared" ca="1" si="1"/>
        <v>-0.34387664437983767</v>
      </c>
    </row>
    <row r="26" spans="1:16" ht="18" customHeight="1">
      <c r="A26" s="189"/>
      <c r="B26" s="37" t="s">
        <v>207</v>
      </c>
      <c r="C26" s="33"/>
      <c r="D26" s="33">
        <f ca="1">100.47*OFFSET(D$113,MATCH($N$1,$C$113:$C$114,0)-1,0)</f>
        <v>100.47</v>
      </c>
      <c r="E26" s="33">
        <f ca="1">112.47*OFFSET(E$113,MATCH($N$1,$C$113:$C$114,0)-1,0)</f>
        <v>112.47</v>
      </c>
      <c r="F26" s="33">
        <f ca="1">134.35*OFFSET(F$113,MATCH($N$1,$C$113:$C$114,0)-1,0)</f>
        <v>134.35</v>
      </c>
      <c r="G26" s="33">
        <f ca="1">132.67*OFFSET(G$113,MATCH($N$1,$C$113:$C$114,0)-1,0)</f>
        <v>132.66999999999999</v>
      </c>
      <c r="H26" s="33">
        <f ca="1">145.87*OFFSET(H$113,MATCH($N$1,$C$113:$C$114,0)-1,0)</f>
        <v>145.87</v>
      </c>
      <c r="I26" s="33">
        <f ca="1">166.25*OFFSET(I$113,MATCH($N$1,$C$113:$C$114,0)-1,0)</f>
        <v>166.25</v>
      </c>
      <c r="J26" s="33">
        <f ca="1">237.33*OFFSET(J$113,MATCH($N$1,$C$113:$C$114,0)-1,0)</f>
        <v>237.33</v>
      </c>
      <c r="K26" s="33">
        <f ca="1">178.09*OFFSET(K$113,MATCH($N$1,$C$113:$C$114,0)-1,0)</f>
        <v>178.09</v>
      </c>
      <c r="L26" s="33">
        <f ca="1">139.45*OFFSET(L$113,MATCH($N$1,$C$113:$C$114,0)-1,0)</f>
        <v>139.44999999999999</v>
      </c>
      <c r="M26" s="33">
        <f ca="1">116.6*OFFSET(M$113,MATCH($N$1,$C$113:$C$114,0)-1,0)</f>
        <v>116.6</v>
      </c>
      <c r="N26" s="33">
        <v>138.69</v>
      </c>
      <c r="O26" s="29">
        <f t="shared" ca="1" si="0"/>
        <v>0.38041206330247834</v>
      </c>
      <c r="P26" s="29">
        <f t="shared" ca="1" si="1"/>
        <v>-0.41562381494122114</v>
      </c>
    </row>
    <row r="27" spans="1:16" ht="18" customHeight="1">
      <c r="A27" s="190"/>
      <c r="B27" s="37" t="s">
        <v>208</v>
      </c>
      <c r="C27" s="33"/>
      <c r="D27" s="33">
        <f ca="1">3.95*OFFSET(D$113,MATCH($N$1,$C$113:$C$114,0)-1,0)</f>
        <v>3.95</v>
      </c>
      <c r="E27" s="33">
        <f ca="1">1.95*OFFSET(E$113,MATCH($N$1,$C$113:$C$114,0)-1,0)</f>
        <v>1.95</v>
      </c>
      <c r="F27" s="33">
        <f ca="1">11.29*OFFSET(F$113,MATCH($N$1,$C$113:$C$114,0)-1,0)</f>
        <v>11.29</v>
      </c>
      <c r="G27" s="33">
        <f ca="1">12.56*OFFSET(G$113,MATCH($N$1,$C$113:$C$114,0)-1,0)</f>
        <v>12.56</v>
      </c>
      <c r="H27" s="33">
        <f ca="1">24.07*OFFSET(H$113,MATCH($N$1,$C$113:$C$114,0)-1,0)</f>
        <v>24.07</v>
      </c>
      <c r="I27" s="33">
        <f ca="1">27.33*OFFSET(I$113,MATCH($N$1,$C$113:$C$114,0)-1,0)</f>
        <v>27.33</v>
      </c>
      <c r="J27" s="33">
        <f ca="1">26.65*OFFSET(J$113,MATCH($N$1,$C$113:$C$114,0)-1,0)</f>
        <v>26.65</v>
      </c>
      <c r="K27" s="33">
        <f ca="1">15.2*OFFSET(K$113,MATCH($N$1,$C$113:$C$114,0)-1,0)</f>
        <v>15.2</v>
      </c>
      <c r="L27" s="33">
        <f ca="1">3.96*OFFSET(L$113,MATCH($N$1,$C$113:$C$114,0)-1,0)</f>
        <v>3.96</v>
      </c>
      <c r="M27" s="33">
        <f ca="1">14.42*OFFSET(M$113,MATCH($N$1,$C$113:$C$114,0)-1,0)</f>
        <v>14.42</v>
      </c>
      <c r="N27" s="33">
        <v>8.35</v>
      </c>
      <c r="O27" s="34">
        <f t="shared" ca="1" si="0"/>
        <v>1.1139240506329111</v>
      </c>
      <c r="P27" s="34">
        <f t="shared" ca="1" si="1"/>
        <v>-0.68667917448405247</v>
      </c>
    </row>
    <row r="28" spans="1:16" s="78" customFormat="1" ht="18" customHeight="1">
      <c r="A28" s="191" t="s">
        <v>209</v>
      </c>
      <c r="B28" s="82" t="s">
        <v>200</v>
      </c>
      <c r="C28" s="83"/>
      <c r="D28" s="83">
        <f ca="1">913.8*OFFSET(D$113,MATCH($N$1,$C$113:$C$114,0)-1,0)</f>
        <v>913.8</v>
      </c>
      <c r="E28" s="83">
        <f ca="1">867.1*OFFSET(E$113,MATCH($N$1,$C$113:$C$114,0)-1,0)</f>
        <v>867.1</v>
      </c>
      <c r="F28" s="83">
        <f ca="1">817.9*OFFSET(F$113,MATCH($N$1,$C$113:$C$114,0)-1,0)</f>
        <v>817.9</v>
      </c>
      <c r="G28" s="83">
        <f ca="1">797.5*OFFSET(G$113,MATCH($N$1,$C$113:$C$114,0)-1,0)</f>
        <v>797.5</v>
      </c>
      <c r="H28" s="83">
        <f ca="1">980.6*OFFSET(H$113,MATCH($N$1,$C$113:$C$114,0)-1,0)</f>
        <v>980.6</v>
      </c>
      <c r="I28" s="83">
        <f ca="1">1144.9*OFFSET(I$113,MATCH($N$1,$C$113:$C$114,0)-1,0)</f>
        <v>1144.9000000000001</v>
      </c>
      <c r="J28" s="83">
        <f ca="1">1088.3*OFFSET(J$113,MATCH($N$1,$C$113:$C$114,0)-1,0)</f>
        <v>1088.3</v>
      </c>
      <c r="K28" s="83">
        <f ca="1">1062.6*OFFSET(K$113,MATCH($N$1,$C$113:$C$114,0)-1,0)</f>
        <v>1062.5999999999999</v>
      </c>
      <c r="L28" s="83">
        <f ca="1">946.6*OFFSET(L$113,MATCH($N$1,$C$113:$C$114,0)-1,0)</f>
        <v>946.6</v>
      </c>
      <c r="M28" s="83">
        <f ca="1">1135.3*OFFSET(M$113,MATCH($N$1,$C$113:$C$114,0)-1,0)</f>
        <v>1135.3</v>
      </c>
      <c r="N28" s="83">
        <v>1431.1000000000001</v>
      </c>
      <c r="O28" s="84">
        <f t="shared" ca="1" si="0"/>
        <v>0.56609761435762773</v>
      </c>
      <c r="P28" s="84">
        <f t="shared" ca="1" si="1"/>
        <v>0.31498667646788586</v>
      </c>
    </row>
    <row r="29" spans="1:16" s="78" customFormat="1" ht="18" customHeight="1">
      <c r="A29" s="192"/>
      <c r="B29" s="85" t="s">
        <v>210</v>
      </c>
      <c r="C29" s="86"/>
      <c r="D29" s="86">
        <f ca="1">31.1*OFFSET(D$113,MATCH($N$1,$C$113:$C$114,0)-1,0)</f>
        <v>31.1</v>
      </c>
      <c r="E29" s="86">
        <f ca="1">3*OFFSET(E$113,MATCH($N$1,$C$113:$C$114,0)-1,0)</f>
        <v>3</v>
      </c>
      <c r="F29" s="86">
        <f ca="1">65.7*OFFSET(F$113,MATCH($N$1,$C$113:$C$114,0)-1,0)</f>
        <v>65.7</v>
      </c>
      <c r="G29" s="86">
        <f ca="1">204.3*OFFSET(G$113,MATCH($N$1,$C$113:$C$114,0)-1,0)</f>
        <v>204.3</v>
      </c>
      <c r="H29" s="86"/>
      <c r="I29" s="86">
        <f ca="1">2*OFFSET(I$113,MATCH($N$1,$C$113:$C$114,0)-1,0)</f>
        <v>2</v>
      </c>
      <c r="J29" s="86">
        <f ca="1">0.2*OFFSET(J$113,MATCH($N$1,$C$113:$C$114,0)-1,0)</f>
        <v>0.2</v>
      </c>
      <c r="K29" s="86"/>
      <c r="L29" s="86">
        <f ca="1">2.1*OFFSET(L$113,MATCH($N$1,$C$113:$C$114,0)-1,0)</f>
        <v>2.1</v>
      </c>
      <c r="M29" s="86">
        <f ca="1">1.7*OFFSET(M$113,MATCH($N$1,$C$113:$C$114,0)-1,0)</f>
        <v>1.7</v>
      </c>
      <c r="N29" s="86"/>
      <c r="O29" s="84" t="str">
        <f t="shared" si="0"/>
        <v/>
      </c>
      <c r="P29" s="84" t="str">
        <f t="shared" si="1"/>
        <v/>
      </c>
    </row>
    <row r="30" spans="1:16" s="78" customFormat="1" ht="18" customHeight="1">
      <c r="A30" s="192"/>
      <c r="B30" s="87" t="s">
        <v>211</v>
      </c>
      <c r="C30" s="88"/>
      <c r="D30" s="88">
        <f ca="1">944.9*OFFSET(D$113,MATCH($N$1,$C$113:$C$114,0)-1,0)</f>
        <v>944.9</v>
      </c>
      <c r="E30" s="88">
        <f ca="1">870.1*OFFSET(E$113,MATCH($N$1,$C$113:$C$114,0)-1,0)</f>
        <v>870.1</v>
      </c>
      <c r="F30" s="88">
        <f ca="1">883.6*OFFSET(F$113,MATCH($N$1,$C$113:$C$114,0)-1,0)</f>
        <v>883.6</v>
      </c>
      <c r="G30" s="88">
        <f ca="1">1001.8*OFFSET(G$113,MATCH($N$1,$C$113:$C$114,0)-1,0)</f>
        <v>1001.8</v>
      </c>
      <c r="H30" s="88">
        <f ca="1">980.6*OFFSET(H$113,MATCH($N$1,$C$113:$C$114,0)-1,0)</f>
        <v>980.6</v>
      </c>
      <c r="I30" s="88">
        <f ca="1">1146.9*OFFSET(I$113,MATCH($N$1,$C$113:$C$114,0)-1,0)</f>
        <v>1146.9000000000001</v>
      </c>
      <c r="J30" s="88">
        <f ca="1">1088.6*OFFSET(J$113,MATCH($N$1,$C$113:$C$114,0)-1,0)</f>
        <v>1088.5999999999999</v>
      </c>
      <c r="K30" s="88">
        <f ca="1">1062.6*OFFSET(K$113,MATCH($N$1,$C$113:$C$114,0)-1,0)</f>
        <v>1062.5999999999999</v>
      </c>
      <c r="L30" s="88">
        <f ca="1">948.7*OFFSET(L$113,MATCH($N$1,$C$113:$C$114,0)-1,0)</f>
        <v>948.7</v>
      </c>
      <c r="M30" s="88">
        <f ca="1">1137*OFFSET(M$113,MATCH($N$1,$C$113:$C$114,0)-1,0)</f>
        <v>1137</v>
      </c>
      <c r="N30" s="88">
        <v>1431.1000000000001</v>
      </c>
      <c r="O30" s="84">
        <f t="shared" ca="1" si="0"/>
        <v>0.5145518044237487</v>
      </c>
      <c r="P30" s="84">
        <f t="shared" ca="1" si="1"/>
        <v>0.31462428807642867</v>
      </c>
    </row>
    <row r="31" spans="1:16" s="78" customFormat="1" ht="18" customHeight="1">
      <c r="A31" s="192"/>
      <c r="B31" s="85" t="s">
        <v>212</v>
      </c>
      <c r="C31" s="86"/>
      <c r="D31" s="86">
        <f ca="1">399.8*OFFSET(D$113,MATCH($N$1,$C$113:$C$114,0)-1,0)</f>
        <v>399.8</v>
      </c>
      <c r="E31" s="86">
        <f ca="1">372.5*OFFSET(E$113,MATCH($N$1,$C$113:$C$114,0)-1,0)</f>
        <v>372.5</v>
      </c>
      <c r="F31" s="86">
        <f ca="1">335*OFFSET(F$113,MATCH($N$1,$C$113:$C$114,0)-1,0)</f>
        <v>335</v>
      </c>
      <c r="G31" s="86">
        <f ca="1">217.8*OFFSET(G$113,MATCH($N$1,$C$113:$C$114,0)-1,0)</f>
        <v>217.8</v>
      </c>
      <c r="H31" s="86">
        <f ca="1">215.8*OFFSET(H$113,MATCH($N$1,$C$113:$C$114,0)-1,0)</f>
        <v>215.8</v>
      </c>
      <c r="I31" s="86">
        <f ca="1">284.4*OFFSET(I$113,MATCH($N$1,$C$113:$C$114,0)-1,0)</f>
        <v>284.39999999999998</v>
      </c>
      <c r="J31" s="86">
        <f ca="1">318.2*OFFSET(J$113,MATCH($N$1,$C$113:$C$114,0)-1,0)</f>
        <v>318.2</v>
      </c>
      <c r="K31" s="86">
        <f ca="1">299.4*OFFSET(K$113,MATCH($N$1,$C$113:$C$114,0)-1,0)</f>
        <v>299.39999999999998</v>
      </c>
      <c r="L31" s="86">
        <f ca="1">223.8*OFFSET(L$113,MATCH($N$1,$C$113:$C$114,0)-1,0)</f>
        <v>223.8</v>
      </c>
      <c r="M31" s="86">
        <f ca="1">291*OFFSET(M$113,MATCH($N$1,$C$113:$C$114,0)-1,0)</f>
        <v>291</v>
      </c>
      <c r="N31" s="86">
        <v>531.20000000000005</v>
      </c>
      <c r="O31" s="84">
        <f t="shared" ca="1" si="0"/>
        <v>0.3286643321660831</v>
      </c>
      <c r="P31" s="84">
        <f t="shared" ca="1" si="1"/>
        <v>0.66939032055311143</v>
      </c>
    </row>
    <row r="32" spans="1:16" s="78" customFormat="1" ht="18" customHeight="1">
      <c r="A32" s="192"/>
      <c r="B32" s="85" t="s">
        <v>213</v>
      </c>
      <c r="C32" s="86"/>
      <c r="D32" s="86">
        <f ca="1">229.6*OFFSET(D$113,MATCH($N$1,$C$113:$C$114,0)-1,0)</f>
        <v>229.6</v>
      </c>
      <c r="E32" s="86">
        <f ca="1">213.5*OFFSET(E$113,MATCH($N$1,$C$113:$C$114,0)-1,0)</f>
        <v>213.5</v>
      </c>
      <c r="F32" s="86">
        <f ca="1">204.6*OFFSET(F$113,MATCH($N$1,$C$113:$C$114,0)-1,0)</f>
        <v>204.6</v>
      </c>
      <c r="G32" s="86">
        <f ca="1">250.9*OFFSET(G$113,MATCH($N$1,$C$113:$C$114,0)-1,0)</f>
        <v>250.9</v>
      </c>
      <c r="H32" s="86">
        <f ca="1">290*OFFSET(H$113,MATCH($N$1,$C$113:$C$114,0)-1,0)</f>
        <v>290</v>
      </c>
      <c r="I32" s="86">
        <f ca="1">324.4*OFFSET(I$113,MATCH($N$1,$C$113:$C$114,0)-1,0)</f>
        <v>324.39999999999998</v>
      </c>
      <c r="J32" s="86">
        <f ca="1">290.7*OFFSET(J$113,MATCH($N$1,$C$113:$C$114,0)-1,0)</f>
        <v>290.7</v>
      </c>
      <c r="K32" s="86">
        <f ca="1">274.3*OFFSET(K$113,MATCH($N$1,$C$113:$C$114,0)-1,0)</f>
        <v>274.3</v>
      </c>
      <c r="L32" s="86">
        <f ca="1">243.7*OFFSET(L$113,MATCH($N$1,$C$113:$C$114,0)-1,0)</f>
        <v>243.7</v>
      </c>
      <c r="M32" s="86">
        <f ca="1">276.7*OFFSET(M$113,MATCH($N$1,$C$113:$C$114,0)-1,0)</f>
        <v>276.7</v>
      </c>
      <c r="N32" s="86">
        <v>273.10000000000002</v>
      </c>
      <c r="O32" s="84">
        <f t="shared" ca="1" si="0"/>
        <v>0.18945993031358899</v>
      </c>
      <c r="P32" s="84">
        <f t="shared" ca="1" si="1"/>
        <v>-6.0543515651874671E-2</v>
      </c>
    </row>
    <row r="33" spans="1:16" s="78" customFormat="1" ht="18" customHeight="1">
      <c r="A33" s="192"/>
      <c r="B33" s="85" t="s">
        <v>214</v>
      </c>
      <c r="C33" s="86"/>
      <c r="D33" s="86">
        <f ca="1">67.4*OFFSET(D$113,MATCH($N$1,$C$113:$C$114,0)-1,0)</f>
        <v>67.400000000000006</v>
      </c>
      <c r="E33" s="86">
        <f ca="1">92.4*OFFSET(E$113,MATCH($N$1,$C$113:$C$114,0)-1,0)</f>
        <v>92.4</v>
      </c>
      <c r="F33" s="86">
        <f ca="1">93.2*OFFSET(F$113,MATCH($N$1,$C$113:$C$114,0)-1,0)</f>
        <v>93.2</v>
      </c>
      <c r="G33" s="86">
        <f ca="1">66.4*OFFSET(G$113,MATCH($N$1,$C$113:$C$114,0)-1,0)</f>
        <v>66.400000000000006</v>
      </c>
      <c r="H33" s="86">
        <f ca="1">88.9*OFFSET(H$113,MATCH($N$1,$C$113:$C$114,0)-1,0)</f>
        <v>88.9</v>
      </c>
      <c r="I33" s="86">
        <f ca="1">149.1*OFFSET(I$113,MATCH($N$1,$C$113:$C$114,0)-1,0)</f>
        <v>149.1</v>
      </c>
      <c r="J33" s="86">
        <f ca="1">147.8*OFFSET(J$113,MATCH($N$1,$C$113:$C$114,0)-1,0)</f>
        <v>147.80000000000001</v>
      </c>
      <c r="K33" s="86">
        <f ca="1">195.8*OFFSET(K$113,MATCH($N$1,$C$113:$C$114,0)-1,0)</f>
        <v>195.8</v>
      </c>
      <c r="L33" s="86">
        <f ca="1">235.4*OFFSET(L$113,MATCH($N$1,$C$113:$C$114,0)-1,0)</f>
        <v>235.4</v>
      </c>
      <c r="M33" s="86">
        <f ca="1">243.8*OFFSET(M$113,MATCH($N$1,$C$113:$C$114,0)-1,0)</f>
        <v>243.8</v>
      </c>
      <c r="N33" s="86">
        <v>307.3</v>
      </c>
      <c r="O33" s="84">
        <f t="shared" ca="1" si="0"/>
        <v>3.5593471810089019</v>
      </c>
      <c r="P33" s="84">
        <f t="shared" ca="1" si="1"/>
        <v>1.0791610284167794</v>
      </c>
    </row>
    <row r="34" spans="1:16" s="78" customFormat="1" ht="18" customHeight="1">
      <c r="A34" s="192"/>
      <c r="B34" s="85" t="s">
        <v>215</v>
      </c>
      <c r="C34" s="86"/>
      <c r="D34" s="86">
        <f ca="1">696.9*OFFSET(D$113,MATCH($N$1,$C$113:$C$114,0)-1,0)</f>
        <v>696.9</v>
      </c>
      <c r="E34" s="86">
        <f ca="1">678.4*OFFSET(E$113,MATCH($N$1,$C$113:$C$114,0)-1,0)</f>
        <v>678.4</v>
      </c>
      <c r="F34" s="86">
        <f ca="1">632.7*OFFSET(F$113,MATCH($N$1,$C$113:$C$114,0)-1,0)</f>
        <v>632.70000000000005</v>
      </c>
      <c r="G34" s="86">
        <f ca="1">535.1*OFFSET(G$113,MATCH($N$1,$C$113:$C$114,0)-1,0)</f>
        <v>535.1</v>
      </c>
      <c r="H34" s="86">
        <f ca="1">594.7*OFFSET(H$113,MATCH($N$1,$C$113:$C$114,0)-1,0)</f>
        <v>594.70000000000005</v>
      </c>
      <c r="I34" s="86">
        <f ca="1">758*OFFSET(I$113,MATCH($N$1,$C$113:$C$114,0)-1,0)</f>
        <v>758</v>
      </c>
      <c r="J34" s="86">
        <f ca="1">756.7*OFFSET(J$113,MATCH($N$1,$C$113:$C$114,0)-1,0)</f>
        <v>756.7</v>
      </c>
      <c r="K34" s="86">
        <f ca="1">769.4*OFFSET(K$113,MATCH($N$1,$C$113:$C$114,0)-1,0)</f>
        <v>769.4</v>
      </c>
      <c r="L34" s="86">
        <f ca="1">702.9*OFFSET(L$113,MATCH($N$1,$C$113:$C$114,0)-1,0)</f>
        <v>702.9</v>
      </c>
      <c r="M34" s="86">
        <f ca="1">811.5*OFFSET(M$113,MATCH($N$1,$C$113:$C$114,0)-1,0)</f>
        <v>811.5</v>
      </c>
      <c r="N34" s="86">
        <v>1111.5</v>
      </c>
      <c r="O34" s="84">
        <f t="shared" ca="1" si="0"/>
        <v>0.59492036160137762</v>
      </c>
      <c r="P34" s="84">
        <f t="shared" ca="1" si="1"/>
        <v>0.46887802299458164</v>
      </c>
    </row>
    <row r="35" spans="1:16" s="78" customFormat="1" ht="18" customHeight="1">
      <c r="A35" s="192"/>
      <c r="B35" s="85" t="s">
        <v>216</v>
      </c>
      <c r="C35" s="86"/>
      <c r="D35" s="86">
        <f ca="1">212.2*OFFSET(D$113,MATCH($N$1,$C$113:$C$114,0)-1,0)</f>
        <v>212.2</v>
      </c>
      <c r="E35" s="86">
        <f ca="1">176.7*OFFSET(E$113,MATCH($N$1,$C$113:$C$114,0)-1,0)</f>
        <v>176.7</v>
      </c>
      <c r="F35" s="86">
        <f ca="1">182.2*OFFSET(F$113,MATCH($N$1,$C$113:$C$114,0)-1,0)</f>
        <v>182.2</v>
      </c>
      <c r="G35" s="86">
        <f ca="1">391.3*OFFSET(G$113,MATCH($N$1,$C$113:$C$114,0)-1,0)</f>
        <v>391.3</v>
      </c>
      <c r="H35" s="86">
        <f ca="1">224.1*OFFSET(H$113,MATCH($N$1,$C$113:$C$114,0)-1,0)</f>
        <v>224.1</v>
      </c>
      <c r="I35" s="86">
        <f ca="1">200.7*OFFSET(I$113,MATCH($N$1,$C$113:$C$114,0)-1,0)</f>
        <v>200.7</v>
      </c>
      <c r="J35" s="86">
        <f ca="1">209.6*OFFSET(J$113,MATCH($N$1,$C$113:$C$114,0)-1,0)</f>
        <v>209.6</v>
      </c>
      <c r="K35" s="86">
        <f ca="1">202.5*OFFSET(K$113,MATCH($N$1,$C$113:$C$114,0)-1,0)</f>
        <v>202.5</v>
      </c>
      <c r="L35" s="86">
        <f ca="1">218.9*OFFSET(L$113,MATCH($N$1,$C$113:$C$114,0)-1,0)</f>
        <v>218.9</v>
      </c>
      <c r="M35" s="86">
        <f ca="1">185.1*OFFSET(M$113,MATCH($N$1,$C$113:$C$114,0)-1,0)</f>
        <v>185.1</v>
      </c>
      <c r="N35" s="86">
        <v>233.4</v>
      </c>
      <c r="O35" s="84">
        <f t="shared" ca="1" si="0"/>
        <v>9.990574929311978E-2</v>
      </c>
      <c r="P35" s="84">
        <f t="shared" ca="1" si="1"/>
        <v>0.11354961832061075</v>
      </c>
    </row>
    <row r="36" spans="1:16" s="78" customFormat="1" ht="18" customHeight="1">
      <c r="A36" s="192"/>
      <c r="B36" s="85" t="s">
        <v>217</v>
      </c>
      <c r="C36" s="86"/>
      <c r="D36" s="86">
        <f ca="1">909*OFFSET(D$113,MATCH($N$1,$C$113:$C$114,0)-1,0)</f>
        <v>909</v>
      </c>
      <c r="E36" s="86">
        <f ca="1">855.1*OFFSET(E$113,MATCH($N$1,$C$113:$C$114,0)-1,0)</f>
        <v>855.1</v>
      </c>
      <c r="F36" s="86">
        <f ca="1">814.9*OFFSET(F$113,MATCH($N$1,$C$113:$C$114,0)-1,0)</f>
        <v>814.9</v>
      </c>
      <c r="G36" s="86">
        <f ca="1">926.3*OFFSET(G$113,MATCH($N$1,$C$113:$C$114,0)-1,0)</f>
        <v>926.3</v>
      </c>
      <c r="H36" s="86">
        <f ca="1">818.9*OFFSET(H$113,MATCH($N$1,$C$113:$C$114,0)-1,0)</f>
        <v>818.9</v>
      </c>
      <c r="I36" s="86">
        <f ca="1">958.7*OFFSET(I$113,MATCH($N$1,$C$113:$C$114,0)-1,0)</f>
        <v>958.7</v>
      </c>
      <c r="J36" s="86">
        <f ca="1">966.3*OFFSET(J$113,MATCH($N$1,$C$113:$C$114,0)-1,0)</f>
        <v>966.3</v>
      </c>
      <c r="K36" s="86">
        <f ca="1">972*OFFSET(K$113,MATCH($N$1,$C$113:$C$114,0)-1,0)</f>
        <v>972</v>
      </c>
      <c r="L36" s="86">
        <f ca="1">921.8*OFFSET(L$113,MATCH($N$1,$C$113:$C$114,0)-1,0)</f>
        <v>921.8</v>
      </c>
      <c r="M36" s="86">
        <f ca="1">996.6*OFFSET(M$113,MATCH($N$1,$C$113:$C$114,0)-1,0)</f>
        <v>996.6</v>
      </c>
      <c r="N36" s="86">
        <v>1344.9</v>
      </c>
      <c r="O36" s="84">
        <f t="shared" ca="1" si="0"/>
        <v>0.47953795379537961</v>
      </c>
      <c r="P36" s="84">
        <f t="shared" ca="1" si="1"/>
        <v>0.39180378764358909</v>
      </c>
    </row>
    <row r="37" spans="1:16" s="78" customFormat="1" ht="18" customHeight="1">
      <c r="A37" s="192"/>
      <c r="B37" s="87" t="s">
        <v>218</v>
      </c>
      <c r="C37" s="88"/>
      <c r="D37" s="88">
        <f ca="1">265.5*OFFSET(D$113,MATCH($N$1,$C$113:$C$114,0)-1,0)</f>
        <v>265.5</v>
      </c>
      <c r="E37" s="88">
        <f ca="1">228.5*OFFSET(E$113,MATCH($N$1,$C$113:$C$114,0)-1,0)</f>
        <v>228.5</v>
      </c>
      <c r="F37" s="88">
        <f ca="1">273.3*OFFSET(F$113,MATCH($N$1,$C$113:$C$114,0)-1,0)</f>
        <v>273.3</v>
      </c>
      <c r="G37" s="88">
        <f ca="1">326.4*OFFSET(G$113,MATCH($N$1,$C$113:$C$114,0)-1,0)</f>
        <v>326.39999999999998</v>
      </c>
      <c r="H37" s="88">
        <f ca="1">451.8*OFFSET(H$113,MATCH($N$1,$C$113:$C$114,0)-1,0)</f>
        <v>451.8</v>
      </c>
      <c r="I37" s="88">
        <f ca="1">512.6*OFFSET(I$113,MATCH($N$1,$C$113:$C$114,0)-1,0)</f>
        <v>512.6</v>
      </c>
      <c r="J37" s="88">
        <f ca="1">412.9*OFFSET(J$113,MATCH($N$1,$C$113:$C$114,0)-1,0)</f>
        <v>412.9</v>
      </c>
      <c r="K37" s="88">
        <f ca="1">365*OFFSET(K$113,MATCH($N$1,$C$113:$C$114,0)-1,0)</f>
        <v>365</v>
      </c>
      <c r="L37" s="88">
        <f ca="1">270.6*OFFSET(L$113,MATCH($N$1,$C$113:$C$114,0)-1,0)</f>
        <v>270.60000000000002</v>
      </c>
      <c r="M37" s="88">
        <f ca="1">417.1*OFFSET(M$113,MATCH($N$1,$C$113:$C$114,0)-1,0)</f>
        <v>417.1</v>
      </c>
      <c r="N37" s="88">
        <v>359.3</v>
      </c>
      <c r="O37" s="84">
        <f t="shared" ca="1" si="0"/>
        <v>0.35329566854990591</v>
      </c>
      <c r="P37" s="84">
        <f t="shared" ca="1" si="1"/>
        <v>-0.12981351416807937</v>
      </c>
    </row>
    <row r="38" spans="1:16" s="78" customFormat="1" ht="18" customHeight="1">
      <c r="A38" s="192"/>
      <c r="B38" s="87" t="s">
        <v>219</v>
      </c>
      <c r="C38" s="88"/>
      <c r="D38" s="88">
        <f ca="1">35.9*OFFSET(D$113,MATCH($N$1,$C$113:$C$114,0)-1,0)</f>
        <v>35.9</v>
      </c>
      <c r="E38" s="88">
        <f ca="1">15*OFFSET(E$113,MATCH($N$1,$C$113:$C$114,0)-1,0)</f>
        <v>15</v>
      </c>
      <c r="F38" s="88">
        <f ca="1">68.7*OFFSET(F$113,MATCH($N$1,$C$113:$C$114,0)-1,0)</f>
        <v>68.7</v>
      </c>
      <c r="G38" s="88">
        <f ca="1">75.5*OFFSET(G$113,MATCH($N$1,$C$113:$C$114,0)-1,0)</f>
        <v>75.5</v>
      </c>
      <c r="H38" s="88">
        <f ca="1">161.8*OFFSET(H$113,MATCH($N$1,$C$113:$C$114,0)-1,0)</f>
        <v>161.80000000000001</v>
      </c>
      <c r="I38" s="88">
        <f ca="1">188.2*OFFSET(I$113,MATCH($N$1,$C$113:$C$114,0)-1,0)</f>
        <v>188.2</v>
      </c>
      <c r="J38" s="88">
        <f ca="1">122.2*OFFSET(J$113,MATCH($N$1,$C$113:$C$114,0)-1,0)</f>
        <v>122.2</v>
      </c>
      <c r="K38" s="88">
        <f ca="1">90.7*OFFSET(K$113,MATCH($N$1,$C$113:$C$114,0)-1,0)</f>
        <v>90.7</v>
      </c>
      <c r="L38" s="88">
        <f ca="1">26.9*OFFSET(L$113,MATCH($N$1,$C$113:$C$114,0)-1,0)</f>
        <v>26.9</v>
      </c>
      <c r="M38" s="88">
        <f ca="1">140.4*OFFSET(M$113,MATCH($N$1,$C$113:$C$114,0)-1,0)</f>
        <v>140.4</v>
      </c>
      <c r="N38" s="88">
        <v>86.2</v>
      </c>
      <c r="O38" s="84">
        <f t="shared" ca="1" si="0"/>
        <v>1.4011142061281339</v>
      </c>
      <c r="P38" s="84">
        <f t="shared" ca="1" si="1"/>
        <v>-0.29459901800327332</v>
      </c>
    </row>
    <row r="39" spans="1:16" s="78" customFormat="1" ht="18" customHeight="1">
      <c r="A39" s="192"/>
      <c r="B39" s="85" t="s">
        <v>220</v>
      </c>
      <c r="C39" s="86"/>
      <c r="D39" s="86">
        <f ca="1">7.9*OFFSET(D$113,MATCH($N$1,$C$113:$C$114,0)-1,0)</f>
        <v>7.9</v>
      </c>
      <c r="E39" s="86">
        <f ca="1">7.4*OFFSET(E$113,MATCH($N$1,$C$113:$C$114,0)-1,0)</f>
        <v>7.4</v>
      </c>
      <c r="F39" s="86">
        <f ca="1">5.7*OFFSET(F$113,MATCH($N$1,$C$113:$C$114,0)-1,0)</f>
        <v>5.7</v>
      </c>
      <c r="G39" s="86">
        <f ca="1">10.1*OFFSET(G$113,MATCH($N$1,$C$113:$C$114,0)-1,0)</f>
        <v>10.1</v>
      </c>
      <c r="H39" s="86">
        <f ca="1">17.4*OFFSET(H$113,MATCH($N$1,$C$113:$C$114,0)-1,0)</f>
        <v>17.399999999999999</v>
      </c>
      <c r="I39" s="86">
        <f ca="1">35.4*OFFSET(I$113,MATCH($N$1,$C$113:$C$114,0)-1,0)</f>
        <v>35.4</v>
      </c>
      <c r="J39" s="86">
        <f ca="1">49.4*OFFSET(J$113,MATCH($N$1,$C$113:$C$114,0)-1,0)</f>
        <v>49.4</v>
      </c>
      <c r="K39" s="86">
        <f ca="1">42.9*OFFSET(K$113,MATCH($N$1,$C$113:$C$114,0)-1,0)</f>
        <v>42.9</v>
      </c>
      <c r="L39" s="86">
        <f ca="1">51.7*OFFSET(L$113,MATCH($N$1,$C$113:$C$114,0)-1,0)</f>
        <v>51.7</v>
      </c>
      <c r="M39" s="86">
        <f ca="1">32.7*OFFSET(M$113,MATCH($N$1,$C$113:$C$114,0)-1,0)</f>
        <v>32.700000000000003</v>
      </c>
      <c r="N39" s="86"/>
      <c r="O39" s="84" t="str">
        <f t="shared" si="0"/>
        <v/>
      </c>
      <c r="P39" s="84" t="str">
        <f t="shared" si="1"/>
        <v/>
      </c>
    </row>
    <row r="40" spans="1:16" s="78" customFormat="1" ht="18" customHeight="1">
      <c r="A40" s="192"/>
      <c r="B40" s="85" t="s">
        <v>221</v>
      </c>
      <c r="C40" s="86"/>
      <c r="D40" s="86">
        <f ca="1">3.4*OFFSET(D$113,MATCH($N$1,$C$113:$C$114,0)-1,0)</f>
        <v>3.4</v>
      </c>
      <c r="E40" s="86">
        <f ca="1">3.3*OFFSET(E$113,MATCH($N$1,$C$113:$C$114,0)-1,0)</f>
        <v>3.3</v>
      </c>
      <c r="F40" s="86">
        <f ca="1">2.7*OFFSET(F$113,MATCH($N$1,$C$113:$C$114,0)-1,0)</f>
        <v>2.7</v>
      </c>
      <c r="G40" s="86">
        <f ca="1">3.4*OFFSET(G$113,MATCH($N$1,$C$113:$C$114,0)-1,0)</f>
        <v>3.4</v>
      </c>
      <c r="H40" s="86">
        <f ca="1">2.2*OFFSET(H$113,MATCH($N$1,$C$113:$C$114,0)-1,0)</f>
        <v>2.2000000000000002</v>
      </c>
      <c r="I40" s="86">
        <f ca="1">2.3*OFFSET(I$113,MATCH($N$1,$C$113:$C$114,0)-1,0)</f>
        <v>2.2999999999999998</v>
      </c>
      <c r="J40" s="86">
        <f ca="1">1.7*OFFSET(J$113,MATCH($N$1,$C$113:$C$114,0)-1,0)</f>
        <v>1.7</v>
      </c>
      <c r="K40" s="86">
        <f ca="1">1.3*OFFSET(K$113,MATCH($N$1,$C$113:$C$114,0)-1,0)</f>
        <v>1.3</v>
      </c>
      <c r="L40" s="86"/>
      <c r="M40" s="86"/>
      <c r="N40" s="86"/>
      <c r="O40" s="84" t="str">
        <f t="shared" si="0"/>
        <v/>
      </c>
      <c r="P40" s="84" t="str">
        <f t="shared" si="1"/>
        <v/>
      </c>
    </row>
    <row r="41" spans="1:16" s="78" customFormat="1" ht="18" customHeight="1">
      <c r="A41" s="192"/>
      <c r="B41" s="85" t="s">
        <v>222</v>
      </c>
      <c r="C41" s="86"/>
      <c r="D41" s="86">
        <f ca="1">1*OFFSET(D$113,MATCH($N$1,$C$113:$C$114,0)-1,0)</f>
        <v>1</v>
      </c>
      <c r="E41" s="86">
        <f ca="1">1.9*OFFSET(E$113,MATCH($N$1,$C$113:$C$114,0)-1,0)</f>
        <v>1.9</v>
      </c>
      <c r="F41" s="86">
        <f ca="1">0.5*OFFSET(F$113,MATCH($N$1,$C$113:$C$114,0)-1,0)</f>
        <v>0.5</v>
      </c>
      <c r="G41" s="86">
        <f ca="1">2.2*OFFSET(G$113,MATCH($N$1,$C$113:$C$114,0)-1,0)</f>
        <v>2.2000000000000002</v>
      </c>
      <c r="H41" s="86">
        <f ca="1">0.1*OFFSET(H$113,MATCH($N$1,$C$113:$C$114,0)-1,0)</f>
        <v>0.1</v>
      </c>
      <c r="I41" s="86">
        <f ca="1">0.7*OFFSET(I$113,MATCH($N$1,$C$113:$C$114,0)-1,0)</f>
        <v>0.7</v>
      </c>
      <c r="J41" s="86">
        <f ca="1">0.3*OFFSET(J$113,MATCH($N$1,$C$113:$C$114,0)-1,0)</f>
        <v>0.3</v>
      </c>
      <c r="K41" s="86">
        <f ca="1">0.2*OFFSET(K$113,MATCH($N$1,$C$113:$C$114,0)-1,0)</f>
        <v>0.2</v>
      </c>
      <c r="L41" s="86">
        <f ca="1">0.4*OFFSET(L$113,MATCH($N$1,$C$113:$C$114,0)-1,0)</f>
        <v>0.4</v>
      </c>
      <c r="M41" s="86"/>
      <c r="N41" s="86"/>
      <c r="O41" s="84" t="str">
        <f t="shared" si="0"/>
        <v/>
      </c>
      <c r="P41" s="84" t="str">
        <f t="shared" si="1"/>
        <v/>
      </c>
    </row>
    <row r="42" spans="1:16" s="78" customFormat="1" ht="18" customHeight="1" thickBot="1">
      <c r="A42" s="193"/>
      <c r="B42" s="89" t="s">
        <v>223</v>
      </c>
      <c r="C42" s="90"/>
      <c r="D42" s="90">
        <f ca="1">23.6*OFFSET(D$113,MATCH($N$1,$C$113:$C$114,0)-1,0)</f>
        <v>23.6</v>
      </c>
      <c r="E42" s="90">
        <f ca="1">2.4*OFFSET(E$113,MATCH($N$1,$C$113:$C$114,0)-1,0)</f>
        <v>2.4</v>
      </c>
      <c r="F42" s="90">
        <f ca="1">59.9*OFFSET(F$113,MATCH($N$1,$C$113:$C$114,0)-1,0)</f>
        <v>59.9</v>
      </c>
      <c r="G42" s="90">
        <f ca="1">59.8*OFFSET(G$113,MATCH($N$1,$C$113:$C$114,0)-1,0)</f>
        <v>59.8</v>
      </c>
      <c r="H42" s="90">
        <f ca="1">142.1*OFFSET(H$113,MATCH($N$1,$C$113:$C$114,0)-1,0)</f>
        <v>142.1</v>
      </c>
      <c r="I42" s="90">
        <f ca="1">149.9*OFFSET(I$113,MATCH($N$1,$C$113:$C$114,0)-1,0)</f>
        <v>149.9</v>
      </c>
      <c r="J42" s="90">
        <f ca="1">70.7*OFFSET(J$113,MATCH($N$1,$C$113:$C$114,0)-1,0)</f>
        <v>70.7</v>
      </c>
      <c r="K42" s="90">
        <f ca="1">46.3*OFFSET(K$113,MATCH($N$1,$C$113:$C$114,0)-1,0)</f>
        <v>46.3</v>
      </c>
      <c r="L42" s="90">
        <f ca="1">-25.2*OFFSET(L$113,MATCH($N$1,$C$113:$C$114,0)-1,0)</f>
        <v>-25.2</v>
      </c>
      <c r="M42" s="90">
        <f ca="1">107.7*OFFSET(M$113,MATCH($N$1,$C$113:$C$114,0)-1,0)</f>
        <v>107.7</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171</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South West beamers over 250kW</v>
      </c>
      <c r="C49" s="101"/>
      <c r="D49" s="101"/>
      <c r="E49" s="101"/>
      <c r="F49" s="101"/>
      <c r="G49" s="101"/>
      <c r="K49" s="101" t="str">
        <f>$B25&amp;CHAR(10)&amp;$A$1</f>
        <v>Operating profit per kW day at sea (£)
South West beamers over 250kW</v>
      </c>
    </row>
    <row r="50" spans="1:11" s="78" customFormat="1">
      <c r="A50" s="101" t="str">
        <f>$B23&amp;CHAR(10)&amp;$A$1</f>
        <v>Fishing income per kW day at sea (£)
South West beamers over 250kW</v>
      </c>
    </row>
    <row r="51" spans="1:11" s="78" customFormat="1">
      <c r="A51" s="101" t="str">
        <f>$B21&amp;CHAR(10)&amp;$A$1</f>
        <v>Average price per tonne landed (£)
South West beamers over 250kW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South West beamers over 250kW</v>
      </c>
      <c r="F63" s="101" t="str">
        <f>$B21&amp;CHAR(10)&amp;$A$1</f>
        <v>Average price per tonne landed (£)
South West beamers over 250kW</v>
      </c>
      <c r="K63" s="101" t="str">
        <f>"Average annual operating profit per vessel (£'000)"&amp;CHAR(10)&amp;$A$1</f>
        <v>Average annual operating profit per vessel (£'000)
South West beamers over 250kW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South West beamers over 250kW</v>
      </c>
      <c r="F77" s="101" t="str">
        <f>"Top 5 landed species by value in "&amp;A78&amp;CHAR(10)&amp;A1</f>
        <v>Top 5 landed species by value in 2021
South West beamers over 250kW</v>
      </c>
    </row>
    <row r="78" spans="1:11" s="101" customFormat="1">
      <c r="A78" s="101">
        <v>2021</v>
      </c>
      <c r="B78" s="101" t="s">
        <v>534</v>
      </c>
      <c r="C78" s="102">
        <v>0.18611775052620283</v>
      </c>
      <c r="D78" s="103">
        <v>3050596</v>
      </c>
      <c r="G78" s="101" t="s">
        <v>535</v>
      </c>
      <c r="H78" s="102">
        <v>0.35018176063555889</v>
      </c>
      <c r="I78" s="103">
        <v>12153634</v>
      </c>
      <c r="K78" s="101" t="s">
        <v>237</v>
      </c>
    </row>
    <row r="79" spans="1:11" s="101" customFormat="1">
      <c r="B79" s="101" t="s">
        <v>536</v>
      </c>
      <c r="C79" s="102">
        <v>0.17681341950708612</v>
      </c>
      <c r="D79" s="103">
        <v>553960</v>
      </c>
      <c r="G79" s="101" t="s">
        <v>537</v>
      </c>
      <c r="H79" s="102">
        <v>0.14666282426107849</v>
      </c>
      <c r="I79" s="103">
        <v>553960</v>
      </c>
    </row>
    <row r="80" spans="1:11" s="101" customFormat="1">
      <c r="B80" s="101" t="s">
        <v>538</v>
      </c>
      <c r="C80" s="102">
        <v>0.11544365514122634</v>
      </c>
      <c r="D80" s="103">
        <v>12153634</v>
      </c>
      <c r="G80" s="101" t="s">
        <v>539</v>
      </c>
      <c r="H80" s="102">
        <v>0.13895871452516245</v>
      </c>
      <c r="I80" s="103">
        <v>3050596</v>
      </c>
    </row>
    <row r="81" spans="1:19" s="101" customFormat="1">
      <c r="B81" s="101" t="s">
        <v>540</v>
      </c>
      <c r="C81" s="102">
        <v>7.688377898676145E-2</v>
      </c>
      <c r="D81" s="103">
        <v>3689192</v>
      </c>
      <c r="G81" s="101" t="s">
        <v>541</v>
      </c>
      <c r="H81" s="102">
        <v>6.6534646609365838E-2</v>
      </c>
      <c r="I81" s="103">
        <v>1692097</v>
      </c>
    </row>
    <row r="82" spans="1:19" s="101" customFormat="1">
      <c r="B82" s="101" t="s">
        <v>542</v>
      </c>
      <c r="C82" s="102">
        <v>6.7592635811807314E-2</v>
      </c>
      <c r="D82" s="103">
        <v>11115023</v>
      </c>
      <c r="G82" s="101" t="s">
        <v>543</v>
      </c>
      <c r="H82" s="102">
        <v>5.1484024012479222E-2</v>
      </c>
      <c r="I82" s="103">
        <v>3689192</v>
      </c>
    </row>
    <row r="83" spans="1:19" s="101" customFormat="1">
      <c r="B83" s="101" t="s">
        <v>544</v>
      </c>
      <c r="C83" s="102">
        <v>0.377148760026916</v>
      </c>
      <c r="D83" s="103">
        <v>5920853</v>
      </c>
      <c r="G83" s="101" t="s">
        <v>545</v>
      </c>
      <c r="H83" s="102">
        <v>0.24617802995635507</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175</v>
      </c>
      <c r="D93" s="107">
        <v>0.17523785755694227</v>
      </c>
      <c r="E93" s="107">
        <v>0.17149999564235588</v>
      </c>
      <c r="F93" s="107">
        <v>0.1529604113862818</v>
      </c>
      <c r="G93" s="107">
        <v>0.1895820423173083</v>
      </c>
      <c r="H93" s="107">
        <v>0.16617418925619706</v>
      </c>
      <c r="I93" s="107">
        <v>0.19937490722779741</v>
      </c>
      <c r="J93" s="107">
        <v>0.27884074077238646</v>
      </c>
      <c r="K93" s="107">
        <v>0.31759612364926504</v>
      </c>
      <c r="L93" s="107">
        <v>0.35018176063555889</v>
      </c>
      <c r="M93" s="107">
        <v>0.34671320501935765</v>
      </c>
      <c r="O93" s="101">
        <v>12153634</v>
      </c>
    </row>
    <row r="94" spans="1:19" s="101" customFormat="1" hidden="1">
      <c r="B94" s="101">
        <v>2</v>
      </c>
      <c r="C94" s="101" t="s">
        <v>161</v>
      </c>
      <c r="D94" s="107">
        <v>0.28544618880128109</v>
      </c>
      <c r="E94" s="107">
        <v>0.27769541338015363</v>
      </c>
      <c r="F94" s="107">
        <v>0.2339463935669272</v>
      </c>
      <c r="G94" s="107">
        <v>0.22865896346661752</v>
      </c>
      <c r="H94" s="107">
        <v>0.14712114641186702</v>
      </c>
      <c r="I94" s="107">
        <v>0.12296730930595905</v>
      </c>
      <c r="J94" s="107">
        <v>0.13672487046849305</v>
      </c>
      <c r="K94" s="107">
        <v>0.15896801321788767</v>
      </c>
      <c r="L94" s="107">
        <v>0.14666282426107849</v>
      </c>
      <c r="M94" s="107">
        <v>0.12093682733070531</v>
      </c>
      <c r="O94" s="101">
        <v>553960</v>
      </c>
    </row>
    <row r="95" spans="1:19" s="101" customFormat="1" hidden="1">
      <c r="B95" s="101">
        <v>3</v>
      </c>
      <c r="C95" s="101" t="s">
        <v>180</v>
      </c>
      <c r="D95" s="107">
        <v>0.14044372285931914</v>
      </c>
      <c r="E95" s="107">
        <v>0.12026512423791083</v>
      </c>
      <c r="F95" s="107">
        <v>0.19761453663319356</v>
      </c>
      <c r="G95" s="107">
        <v>0.2071716059830403</v>
      </c>
      <c r="H95" s="107">
        <v>0.34408479176284607</v>
      </c>
      <c r="I95" s="107">
        <v>0.30844676890742695</v>
      </c>
      <c r="J95" s="107">
        <v>0.2204746433581157</v>
      </c>
      <c r="K95" s="107">
        <v>0.17956662071530652</v>
      </c>
      <c r="L95" s="107">
        <v>0.13895871452516245</v>
      </c>
      <c r="M95" s="107">
        <v>0.20851089341122758</v>
      </c>
      <c r="O95" s="101">
        <v>3050596</v>
      </c>
    </row>
    <row r="96" spans="1:19" s="101" customFormat="1" hidden="1">
      <c r="B96" s="101">
        <v>4</v>
      </c>
      <c r="C96" s="101" t="s">
        <v>294</v>
      </c>
      <c r="D96" s="107"/>
      <c r="E96" s="107"/>
      <c r="F96" s="107"/>
      <c r="G96" s="107">
        <v>4.6524590298729143E-2</v>
      </c>
      <c r="H96" s="107"/>
      <c r="I96" s="107">
        <v>5.3408680769836292E-2</v>
      </c>
      <c r="J96" s="107">
        <v>6.1038387538084819E-2</v>
      </c>
      <c r="K96" s="107">
        <v>6.5862045777084169E-2</v>
      </c>
      <c r="L96" s="107">
        <v>6.6534646609365838E-2</v>
      </c>
      <c r="M96" s="107">
        <v>6.1590053237054972E-2</v>
      </c>
      <c r="O96" s="101">
        <v>1692097</v>
      </c>
    </row>
    <row r="97" spans="1:15" s="101" customFormat="1" hidden="1">
      <c r="B97" s="101">
        <v>5</v>
      </c>
      <c r="C97" s="101" t="s">
        <v>169</v>
      </c>
      <c r="D97" s="107"/>
      <c r="E97" s="107"/>
      <c r="F97" s="107"/>
      <c r="G97" s="107"/>
      <c r="H97" s="107"/>
      <c r="I97" s="107"/>
      <c r="J97" s="107">
        <v>5.6490210031354529E-2</v>
      </c>
      <c r="K97" s="107">
        <v>5.4499449285460813E-2</v>
      </c>
      <c r="L97" s="107">
        <v>5.1484024012479222E-2</v>
      </c>
      <c r="M97" s="107">
        <v>3.9876383691756785E-2</v>
      </c>
      <c r="O97" s="101">
        <v>3689192</v>
      </c>
    </row>
    <row r="98" spans="1:15" s="101" customFormat="1" hidden="1">
      <c r="B98" s="101">
        <v>6</v>
      </c>
      <c r="C98" s="101" t="s">
        <v>176</v>
      </c>
      <c r="D98" s="107"/>
      <c r="E98" s="107"/>
      <c r="F98" s="107">
        <v>6.4679750568691893E-2</v>
      </c>
      <c r="G98" s="107"/>
      <c r="H98" s="107">
        <v>6.0031905331486689E-2</v>
      </c>
      <c r="I98" s="107">
        <v>6.6029854225385556E-2</v>
      </c>
      <c r="J98" s="107"/>
      <c r="K98" s="107"/>
      <c r="L98" s="107"/>
      <c r="M98" s="107"/>
      <c r="O98" s="101">
        <v>11115023</v>
      </c>
    </row>
    <row r="99" spans="1:15" s="101" customFormat="1" hidden="1">
      <c r="B99" s="101">
        <v>7</v>
      </c>
      <c r="C99" s="101" t="s">
        <v>321</v>
      </c>
      <c r="D99" s="107">
        <v>0.11600299775354173</v>
      </c>
      <c r="E99" s="107">
        <v>0.12993787550520974</v>
      </c>
      <c r="F99" s="107">
        <v>0.11720822020461284</v>
      </c>
      <c r="G99" s="107">
        <v>9.0706798971120051E-2</v>
      </c>
      <c r="H99" s="107">
        <v>5.8168118489917292E-2</v>
      </c>
      <c r="I99" s="107"/>
      <c r="J99" s="107"/>
      <c r="K99" s="107"/>
      <c r="L99" s="107"/>
      <c r="M99" s="107"/>
      <c r="O99" s="101">
        <v>2480382</v>
      </c>
    </row>
    <row r="100" spans="1:15" s="101" customFormat="1" hidden="1">
      <c r="B100" s="101">
        <v>8</v>
      </c>
      <c r="C100" s="101" t="s">
        <v>162</v>
      </c>
      <c r="D100" s="107">
        <v>4.4009534356624976E-2</v>
      </c>
      <c r="E100" s="107">
        <v>5.1733637009427139E-2</v>
      </c>
      <c r="F100" s="107"/>
      <c r="G100" s="107"/>
      <c r="H100" s="107"/>
      <c r="I100" s="107"/>
      <c r="J100" s="107"/>
      <c r="K100" s="107"/>
      <c r="L100" s="107"/>
      <c r="M100" s="107"/>
      <c r="O100" s="101">
        <v>7434864</v>
      </c>
    </row>
    <row r="101" spans="1:15" s="101" customFormat="1" hidden="1">
      <c r="B101" s="101">
        <v>9</v>
      </c>
      <c r="C101" s="101" t="s">
        <v>251</v>
      </c>
      <c r="D101" s="107">
        <v>0.23885969867229079</v>
      </c>
      <c r="E101" s="107">
        <v>0.24886795422494276</v>
      </c>
      <c r="F101" s="107">
        <v>0.23359068764029273</v>
      </c>
      <c r="G101" s="107">
        <v>0.23735599896318471</v>
      </c>
      <c r="H101" s="107">
        <v>0.22441984874768586</v>
      </c>
      <c r="I101" s="107">
        <v>0.24977247956359475</v>
      </c>
      <c r="J101" s="107">
        <v>0.24643114783156544</v>
      </c>
      <c r="K101" s="107">
        <v>0.22350774735499582</v>
      </c>
      <c r="L101" s="107">
        <v>0.24617802995635507</v>
      </c>
      <c r="M101" s="107">
        <v>0.22237263730989773</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6</v>
      </c>
      <c r="D121" s="52">
        <v>11</v>
      </c>
      <c r="E121" s="52">
        <v>6</v>
      </c>
      <c r="F121" s="53">
        <v>23</v>
      </c>
    </row>
    <row r="122" spans="1:15" ht="18" customHeight="1">
      <c r="A122" s="186" t="s">
        <v>198</v>
      </c>
      <c r="B122" s="35" t="s">
        <v>199</v>
      </c>
      <c r="C122" s="54">
        <v>29.968334197998047</v>
      </c>
      <c r="D122" s="54">
        <v>30.247272318059746</v>
      </c>
      <c r="E122" s="54">
        <v>31.098333358764648</v>
      </c>
      <c r="F122" s="55">
        <v>30.396522521972656</v>
      </c>
    </row>
    <row r="123" spans="1:15" ht="18" customHeight="1">
      <c r="A123" s="187"/>
      <c r="B123" s="37" t="s">
        <v>190</v>
      </c>
      <c r="C123" s="56">
        <v>575.66668701171875</v>
      </c>
      <c r="D123" s="56">
        <v>653.00001664595175</v>
      </c>
      <c r="E123" s="56">
        <v>648</v>
      </c>
      <c r="F123" s="57">
        <v>631.521728515625</v>
      </c>
    </row>
    <row r="124" spans="1:15" ht="18" customHeight="1">
      <c r="A124" s="187"/>
      <c r="B124" s="37" t="s">
        <v>191</v>
      </c>
      <c r="C124" s="56">
        <v>214.83332824707031</v>
      </c>
      <c r="D124" s="56">
        <v>215.27272727272728</v>
      </c>
      <c r="E124" s="56">
        <v>181.16667175292969</v>
      </c>
      <c r="F124" s="57">
        <v>206.2608642578125</v>
      </c>
    </row>
    <row r="125" spans="1:15" ht="18" customHeight="1">
      <c r="A125" s="187"/>
      <c r="B125" s="37" t="s">
        <v>192</v>
      </c>
      <c r="C125" s="56">
        <v>482.79922485351563</v>
      </c>
      <c r="D125" s="56">
        <v>518.40186934037638</v>
      </c>
      <c r="E125" s="56">
        <v>513.361328125</v>
      </c>
      <c r="F125" s="57">
        <v>507.79928588867188</v>
      </c>
    </row>
    <row r="126" spans="1:15" ht="18" customHeight="1">
      <c r="A126" s="187"/>
      <c r="B126" s="37" t="s">
        <v>193</v>
      </c>
      <c r="C126" s="33">
        <v>334.69314575195313</v>
      </c>
      <c r="D126" s="33">
        <v>295.31885597922587</v>
      </c>
      <c r="E126" s="33">
        <v>225.7713623046875</v>
      </c>
      <c r="F126" s="58">
        <v>287.44757080078125</v>
      </c>
    </row>
    <row r="127" spans="1:15" ht="18" customHeight="1">
      <c r="A127" s="187"/>
      <c r="B127" s="37" t="s">
        <v>200</v>
      </c>
      <c r="C127" s="33">
        <f ca="1">1372.341*OFFSET($L$113,MATCH($N$1,$C$113:$C$114,0)-1,0)</f>
        <v>1372.3409999999999</v>
      </c>
      <c r="D127" s="33">
        <f ca="1">1172.00714772727*OFFSET($L$113,MATCH($N$1,$C$113:$C$114,0)-1,0)</f>
        <v>1172.00714772727</v>
      </c>
      <c r="E127" s="33">
        <f ca="1">830.829*OFFSET($L$113,MATCH($N$1,$C$113:$C$114,0)-1,0)</f>
        <v>830.82899999999995</v>
      </c>
      <c r="F127" s="58">
        <f ca="1">1135.265125*OFFSET($L$113,MATCH($N$1,$C$113:$C$114,0)-1,0)</f>
        <v>1135.2651249999999</v>
      </c>
    </row>
    <row r="128" spans="1:15" ht="18" customHeight="1">
      <c r="A128" s="187"/>
      <c r="B128" s="37" t="s">
        <v>195</v>
      </c>
      <c r="C128" s="56">
        <v>233.16667175292969</v>
      </c>
      <c r="D128" s="56">
        <v>221.45454406738281</v>
      </c>
      <c r="E128" s="56">
        <v>183</v>
      </c>
      <c r="F128" s="57">
        <v>214.47825622558594</v>
      </c>
    </row>
    <row r="129" spans="1:15" ht="18" customHeight="1">
      <c r="A129" s="187"/>
      <c r="B129" s="37" t="s">
        <v>201</v>
      </c>
      <c r="C129" s="56">
        <v>35.833332061767578</v>
      </c>
      <c r="D129" s="56">
        <v>41.90909125588157</v>
      </c>
      <c r="E129" s="56">
        <v>49.333332061767578</v>
      </c>
      <c r="F129" s="57">
        <v>42.260868072509766</v>
      </c>
    </row>
    <row r="130" spans="1:15" ht="18" customHeight="1">
      <c r="A130" s="187"/>
      <c r="B130" s="37" t="s">
        <v>202</v>
      </c>
      <c r="C130" s="59">
        <v>1.4354244470596313</v>
      </c>
      <c r="D130" s="59">
        <v>1.3335416404432328</v>
      </c>
      <c r="E130" s="59">
        <v>1.2337232828140259</v>
      </c>
      <c r="F130" s="60">
        <v>1.3402178287506104</v>
      </c>
    </row>
    <row r="131" spans="1:15" ht="18" customHeight="1">
      <c r="A131" s="188"/>
      <c r="B131" s="39" t="s">
        <v>203</v>
      </c>
      <c r="C131" s="40">
        <f ca="1">4100.29609933233*OFFSET($L$113,MATCH($N$1,$C$113:$C$114,0)-1,0)</f>
        <v>4100.2960993323304</v>
      </c>
      <c r="D131" s="40">
        <f ca="1">3968.61603652466*OFFSET($L$113,MATCH($N$1,$C$113:$C$114,0)-1,0)</f>
        <v>3968.6160365246601</v>
      </c>
      <c r="E131" s="40">
        <f ca="1">3679.95742028062*OFFSET($L$113,MATCH($N$1,$C$113:$C$114,0)-1,0)</f>
        <v>3679.9574202806202</v>
      </c>
      <c r="F131" s="61">
        <f ca="1">3949*OFFSET($L$113,MATCH($N$1,$C$113:$C$114,0)-1,0)</f>
        <v>3949</v>
      </c>
    </row>
    <row r="132" spans="1:15" ht="18" customHeight="1">
      <c r="A132" s="198" t="s">
        <v>204</v>
      </c>
      <c r="B132" s="35" t="s">
        <v>205</v>
      </c>
      <c r="C132" s="62">
        <v>2.5440729241243645</v>
      </c>
      <c r="D132" s="62">
        <v>2.0102970595674994</v>
      </c>
      <c r="E132" s="62">
        <v>1.8011541213488804</v>
      </c>
      <c r="F132" s="63">
        <v>2.0939237512531688</v>
      </c>
    </row>
    <row r="133" spans="1:15" ht="18" customHeight="1">
      <c r="A133" s="199"/>
      <c r="B133" s="37" t="s">
        <v>206</v>
      </c>
      <c r="C133" s="59">
        <f ca="1">10.4314522872041*OFFSET($L$113,MATCH($N$1,$C$113:$C$114,0)-1,0)</f>
        <v>10.431452287204101</v>
      </c>
      <c r="D133" s="59">
        <f ca="1">7.97809714877795*OFFSET($L$113,MATCH($N$1,$C$113:$C$114,0)-1,0)</f>
        <v>7.97809714877795</v>
      </c>
      <c r="E133" s="59">
        <f ca="1">6.62817047392684*OFFSET($L$113,MATCH($N$1,$C$113:$C$114,0)-1,0)</f>
        <v>6.6281704739268399</v>
      </c>
      <c r="F133" s="60">
        <f ca="1">8.2698858876578*OFFSET($L$113,MATCH($N$1,$C$113:$C$114,0)-1,0)</f>
        <v>8.2698858876578001</v>
      </c>
    </row>
    <row r="134" spans="1:15" ht="18" customHeight="1">
      <c r="A134" s="199"/>
      <c r="B134" s="37" t="s">
        <v>153</v>
      </c>
      <c r="C134" s="59">
        <f ca="1">8.56251460857569*OFFSET($L$113,MATCH($N$1,$C$113:$C$114,0)-1,0)</f>
        <v>8.5625146085756896</v>
      </c>
      <c r="D134" s="59">
        <f ca="1">6.99170144704672*OFFSET($L$113,MATCH($N$1,$C$113:$C$114,0)-1,0)</f>
        <v>6.9917014470467196</v>
      </c>
      <c r="E134" s="59">
        <f ca="1">6.41543863919028*OFFSET($L$113,MATCH($N$1,$C$113:$C$114,0)-1,0)</f>
        <v>6.4154386391902802</v>
      </c>
      <c r="F134" s="60">
        <f ca="1">7.24714047600836*OFFSET($L$113,MATCH($N$1,$C$113:$C$114,0)-1,0)</f>
        <v>7.2471404760083598</v>
      </c>
    </row>
    <row r="135" spans="1:15" ht="18" customHeight="1">
      <c r="A135" s="200"/>
      <c r="B135" s="39" t="s">
        <v>154</v>
      </c>
      <c r="C135" s="64">
        <f ca="1">1.86893767862844*OFFSET($L$113,MATCH($N$1,$C$113:$C$114,0)-1,0)</f>
        <v>1.86893767862844</v>
      </c>
      <c r="D135" s="64">
        <f ca="1">0.986395701731228*OFFSET($L$113,MATCH($N$1,$C$113:$C$114,0)-1,0)</f>
        <v>0.98639570173122804</v>
      </c>
      <c r="E135" s="64">
        <f ca="1">0.21273183473656*OFFSET($L$113,MATCH($N$1,$C$113:$C$114,0)-1,0)</f>
        <v>0.21273183473655999</v>
      </c>
      <c r="F135" s="65">
        <f ca="1">1.02274541164944*OFFSET($L$113,MATCH($N$1,$C$113:$C$114,0)-1,0)</f>
        <v>1.0227454116494401</v>
      </c>
    </row>
    <row r="136" spans="1:15" ht="18" customHeight="1">
      <c r="A136" s="201" t="s">
        <v>260</v>
      </c>
      <c r="B136" s="37" t="s">
        <v>261</v>
      </c>
      <c r="C136" s="66">
        <f ca="1">273.52721875*OFFSET($L$113,MATCH($N$1,$C$113:$C$114,0)-1,0)</f>
        <v>273.52721874999997</v>
      </c>
      <c r="D136" s="66">
        <f ca="1">302.289938920455*OFFSET($L$113,MATCH($N$1,$C$113:$C$114,0)-1,0)</f>
        <v>302.28993892045497</v>
      </c>
      <c r="E136" s="66">
        <f ca="1">287.785*OFFSET($L$113,MATCH($N$1,$C$113:$C$114,0)-1,0)</f>
        <v>287.78500000000003</v>
      </c>
      <c r="F136" s="67">
        <f ca="1">291.00271875*OFFSET($L$113,MATCH($N$1,$C$113:$C$114,0)-1,0)</f>
        <v>291.00271874999999</v>
      </c>
    </row>
    <row r="137" spans="1:15" ht="18" customHeight="1">
      <c r="A137" s="202"/>
      <c r="B137" s="37" t="s">
        <v>262</v>
      </c>
      <c r="C137" s="31">
        <v>576900.00013323862</v>
      </c>
      <c r="D137" s="31">
        <v>632418.17657762626</v>
      </c>
      <c r="E137" s="31">
        <v>606766.65747070313</v>
      </c>
      <c r="F137" s="68">
        <v>611243.47826086951</v>
      </c>
    </row>
    <row r="138" spans="1:15" ht="18" customHeight="1">
      <c r="A138" s="202"/>
      <c r="B138" s="37" t="s">
        <v>263</v>
      </c>
      <c r="C138" s="31">
        <v>2474.19580078125</v>
      </c>
      <c r="D138" s="31">
        <v>2855.7471206605633</v>
      </c>
      <c r="E138" s="31">
        <v>3315.664794921875</v>
      </c>
      <c r="F138" s="68">
        <v>2849.90869140625</v>
      </c>
    </row>
    <row r="139" spans="1:15" ht="18" customHeight="1">
      <c r="A139" s="202"/>
      <c r="B139" s="37" t="s">
        <v>264</v>
      </c>
      <c r="C139" s="31">
        <f ca="1">1173.09741007856*OFFSET($L$113,MATCH($N$1,$C$113:$C$114,0)-1,0)</f>
        <v>1173.09741007856</v>
      </c>
      <c r="D139" s="31">
        <f ca="1">1365.02025819111*OFFSET($L$113,MATCH($N$1,$C$113:$C$114,0)-1,0)</f>
        <v>1365.0202581911101</v>
      </c>
      <c r="E139" s="31">
        <f ca="1">1572.5956284153*OFFSET($L$113,MATCH($N$1,$C$113:$C$114,0)-1,0)</f>
        <v>1572.5956284153001</v>
      </c>
      <c r="F139" s="68">
        <f ca="1">1356.79356905964*OFFSET($L$113,MATCH($N$1,$C$113:$C$114,0)-1,0)</f>
        <v>1356.79356905964</v>
      </c>
      <c r="I139" s="43"/>
      <c r="L139" s="69" t="str">
        <f>C120</f>
        <v>Most
profitable
quartile</v>
      </c>
      <c r="M139" s="69" t="str">
        <f>D120</f>
        <v>Middle
two quartiles</v>
      </c>
      <c r="N139" s="69" t="str">
        <f>E120</f>
        <v>Least
profitable
quartile</v>
      </c>
      <c r="O139" s="69"/>
    </row>
    <row r="140" spans="1:15" ht="18" customHeight="1">
      <c r="A140" s="202"/>
      <c r="B140" s="37" t="s">
        <v>265</v>
      </c>
      <c r="C140" s="31">
        <f ca="1">817.247745350351*OFFSET($L$113,MATCH($N$1,$C$113:$C$114,0)-1,0)</f>
        <v>817.24774535035101</v>
      </c>
      <c r="D140" s="31">
        <f ca="1">1023.60527545088*OFFSET($L$113,MATCH($N$1,$C$113:$C$114,0)-1,0)</f>
        <v>1023.60527545088</v>
      </c>
      <c r="E140" s="31">
        <f ca="1">1274.67450726378*OFFSET($L$113,MATCH($N$1,$C$113:$C$114,0)-1,0)</f>
        <v>1274.67450726378</v>
      </c>
      <c r="F140" s="68">
        <f ca="1">1012.36798745355*OFFSET($L$113,MATCH($N$1,$C$113:$C$114,0)-1,0)</f>
        <v>1012.36798745355</v>
      </c>
      <c r="I140" s="43"/>
      <c r="K140" s="69" t="s">
        <v>266</v>
      </c>
      <c r="L140" s="70">
        <f t="shared" ref="L140:M142" ca="1" si="2">C141</f>
        <v>1372.3409999999999</v>
      </c>
      <c r="M140" s="70">
        <f t="shared" ca="1" si="2"/>
        <v>1175.6227159090899</v>
      </c>
      <c r="N140" s="70">
        <f ca="1">E141</f>
        <v>830.82899999999995</v>
      </c>
      <c r="O140" s="70"/>
    </row>
    <row r="141" spans="1:15" ht="18" customHeight="1">
      <c r="A141" s="179" t="s">
        <v>267</v>
      </c>
      <c r="B141" s="35" t="s">
        <v>268</v>
      </c>
      <c r="C141" s="71">
        <f ca="1">1372.341*OFFSET($L$113,MATCH($N$1,$C$113:$C$114,0)-1,0)</f>
        <v>1372.3409999999999</v>
      </c>
      <c r="D141" s="71">
        <f ca="1">1175.62271590909*OFFSET($L$113,MATCH($N$1,$C$113:$C$114,0)-1,0)</f>
        <v>1175.6227159090899</v>
      </c>
      <c r="E141" s="71">
        <f ca="1">830.829*OFFSET($L$113,MATCH($N$1,$C$113:$C$114,0)-1,0)</f>
        <v>830.82899999999995</v>
      </c>
      <c r="F141" s="72">
        <f ca="1">1136.994375*OFFSET($L$113,MATCH($N$1,$C$113:$C$114,0)-1,0)</f>
        <v>1136.994375</v>
      </c>
      <c r="I141" s="43"/>
      <c r="K141" s="69" t="s">
        <v>269</v>
      </c>
      <c r="L141" s="70">
        <f t="shared" ca="1" si="2"/>
        <v>1126.4673749999999</v>
      </c>
      <c r="M141" s="70">
        <f t="shared" ca="1" si="2"/>
        <v>1030.71813636364</v>
      </c>
      <c r="N141" s="70">
        <f ca="1">E142</f>
        <v>804.16343749999999</v>
      </c>
      <c r="O141" s="70"/>
    </row>
    <row r="142" spans="1:15" ht="18" customHeight="1">
      <c r="A142" s="180"/>
      <c r="B142" s="37" t="s">
        <v>270</v>
      </c>
      <c r="C142" s="31">
        <f ca="1">1126.467375*OFFSET($L$113,MATCH($N$1,$C$113:$C$114,0)-1,0)</f>
        <v>1126.4673749999999</v>
      </c>
      <c r="D142" s="31">
        <f ca="1">1030.71813636364*OFFSET($L$113,MATCH($N$1,$C$113:$C$114,0)-1,0)</f>
        <v>1030.71813636364</v>
      </c>
      <c r="E142" s="31">
        <f ca="1">804.1634375*OFFSET($L$113,MATCH($N$1,$C$113:$C$114,0)-1,0)</f>
        <v>804.16343749999999</v>
      </c>
      <c r="F142" s="68">
        <f ca="1">996.5949375*OFFSET($L$113,MATCH($N$1,$C$113:$C$114,0)-1,0)</f>
        <v>996.59493750000001</v>
      </c>
      <c r="I142" s="43"/>
      <c r="K142" s="69" t="s">
        <v>271</v>
      </c>
      <c r="L142" s="70">
        <f t="shared" ca="1" si="2"/>
        <v>245.873625</v>
      </c>
      <c r="M142" s="70">
        <f t="shared" ca="1" si="2"/>
        <v>144.904579545454</v>
      </c>
      <c r="N142" s="70">
        <f ca="1">E143</f>
        <v>26.6655625</v>
      </c>
      <c r="O142" s="70"/>
    </row>
    <row r="143" spans="1:15" ht="18" customHeight="1">
      <c r="A143" s="181"/>
      <c r="B143" s="39" t="s">
        <v>272</v>
      </c>
      <c r="C143" s="40">
        <f ca="1">245.873625*OFFSET($L$113,MATCH($N$1,$C$113:$C$114,0)-1,0)</f>
        <v>245.873625</v>
      </c>
      <c r="D143" s="40">
        <f ca="1">144.904579545454*OFFSET($L$113,MATCH($N$1,$C$113:$C$114,0)-1,0)</f>
        <v>144.904579545454</v>
      </c>
      <c r="E143" s="40">
        <f ca="1">26.6655625*OFFSET($L$113,MATCH($N$1,$C$113:$C$114,0)-1,0)</f>
        <v>26.6655625</v>
      </c>
      <c r="F143" s="61">
        <f ca="1">140.399421875*OFFSET($L$113,MATCH($N$1,$C$113:$C$114,0)-1,0)</f>
        <v>140.399421875</v>
      </c>
      <c r="I143" s="43"/>
      <c r="K143" s="69" t="s">
        <v>273</v>
      </c>
      <c r="L143" s="73">
        <f ca="1">IFERROR(L141/L$140,"")</f>
        <v>0.82083634825455187</v>
      </c>
      <c r="M143" s="73">
        <f t="shared" ref="M143:N144" ca="1" si="3">IFERROR(M141/M$140,"")</f>
        <v>0.87674227659560189</v>
      </c>
      <c r="N143" s="73">
        <f t="shared" ca="1" si="3"/>
        <v>0.96790487272350878</v>
      </c>
      <c r="O143" s="73"/>
    </row>
    <row r="144" spans="1:15" ht="18" customHeight="1">
      <c r="I144" s="43"/>
      <c r="K144" s="69" t="s">
        <v>274</v>
      </c>
      <c r="L144" s="73">
        <f ca="1">IFERROR(L142/L$140,"")</f>
        <v>0.17916365174544813</v>
      </c>
      <c r="M144" s="73">
        <f t="shared" ca="1" si="3"/>
        <v>0.1232577234044016</v>
      </c>
      <c r="N144" s="73">
        <f t="shared" ca="1" si="3"/>
        <v>3.2095127276491317E-2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9</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180</v>
      </c>
      <c r="C163" s="48">
        <v>0.18428159612790523</v>
      </c>
      <c r="D163" s="48">
        <v>0.22351083703442495</v>
      </c>
      <c r="E163" s="48">
        <v>0.17901576707241179</v>
      </c>
      <c r="F163" s="44">
        <v>3050596</v>
      </c>
      <c r="G163" s="44">
        <v>1</v>
      </c>
      <c r="H163" s="48" t="s">
        <v>175</v>
      </c>
      <c r="I163" s="48">
        <v>0.4024034961568464</v>
      </c>
      <c r="J163" s="48">
        <v>0.37829387475503484</v>
      </c>
      <c r="K163" s="48">
        <v>0.27945328877578041</v>
      </c>
      <c r="L163" s="44">
        <v>12153634</v>
      </c>
      <c r="R163" s="21"/>
      <c r="S163" s="21"/>
    </row>
    <row r="164" spans="1:19" s="43" customFormat="1">
      <c r="A164" s="44">
        <v>2</v>
      </c>
      <c r="B164" s="48" t="s">
        <v>161</v>
      </c>
      <c r="C164" s="48">
        <v>0.12913610413865265</v>
      </c>
      <c r="D164" s="48">
        <v>0.2124622269299232</v>
      </c>
      <c r="E164" s="48">
        <v>0.23790426501881481</v>
      </c>
      <c r="F164" s="44">
        <v>553960</v>
      </c>
      <c r="G164" s="44">
        <v>2</v>
      </c>
      <c r="H164" s="48" t="s">
        <v>161</v>
      </c>
      <c r="I164" s="48">
        <v>0.10264850006994049</v>
      </c>
      <c r="J164" s="48">
        <v>0.16585494419116067</v>
      </c>
      <c r="K164" s="48">
        <v>0.20841408810067105</v>
      </c>
      <c r="L164" s="44">
        <v>553960</v>
      </c>
      <c r="N164" s="43" t="s">
        <v>278</v>
      </c>
      <c r="R164" s="21"/>
      <c r="S164" s="21"/>
    </row>
    <row r="165" spans="1:19" s="43" customFormat="1">
      <c r="A165" s="44">
        <v>3</v>
      </c>
      <c r="B165" s="48" t="s">
        <v>175</v>
      </c>
      <c r="C165" s="48">
        <v>0.14306822199988972</v>
      </c>
      <c r="D165" s="48">
        <v>0.13150761313892606</v>
      </c>
      <c r="E165" s="48">
        <v>8.2949331465820758E-2</v>
      </c>
      <c r="F165" s="44">
        <v>12153634</v>
      </c>
      <c r="G165" s="44">
        <v>3</v>
      </c>
      <c r="H165" s="48" t="s">
        <v>180</v>
      </c>
      <c r="I165" s="48">
        <v>0.12999705209750012</v>
      </c>
      <c r="J165" s="48">
        <v>0.15979526955901416</v>
      </c>
      <c r="K165" s="48">
        <v>0.13714474490294987</v>
      </c>
      <c r="L165" s="44">
        <v>3050596</v>
      </c>
      <c r="N165" s="43" t="s">
        <v>279</v>
      </c>
      <c r="R165" s="21"/>
      <c r="S165" s="21"/>
    </row>
    <row r="166" spans="1:19" s="43" customFormat="1">
      <c r="A166" s="44">
        <v>4</v>
      </c>
      <c r="B166" s="48" t="s">
        <v>169</v>
      </c>
      <c r="C166" s="48">
        <v>7.8126389556956888E-2</v>
      </c>
      <c r="D166" s="48">
        <v>9.9254779629929471E-2</v>
      </c>
      <c r="E166" s="48">
        <v>0</v>
      </c>
      <c r="F166" s="44">
        <v>3689192</v>
      </c>
      <c r="G166" s="44">
        <v>4</v>
      </c>
      <c r="H166" s="48" t="s">
        <v>294</v>
      </c>
      <c r="I166" s="48">
        <v>7.6967456100853177E-2</v>
      </c>
      <c r="J166" s="48">
        <v>7.1215191625172938E-2</v>
      </c>
      <c r="K166" s="48">
        <v>5.3807481873196492E-2</v>
      </c>
      <c r="L166" s="44">
        <v>1692097</v>
      </c>
      <c r="R166" s="21"/>
      <c r="S166" s="21"/>
    </row>
    <row r="167" spans="1:19" s="43" customFormat="1">
      <c r="A167" s="44">
        <v>5</v>
      </c>
      <c r="B167" s="48" t="s">
        <v>546</v>
      </c>
      <c r="C167" s="48">
        <v>0</v>
      </c>
      <c r="D167" s="48">
        <v>9.2495084829929047E-2</v>
      </c>
      <c r="E167" s="48">
        <v>0</v>
      </c>
      <c r="F167" s="44">
        <v>11115023</v>
      </c>
      <c r="G167" s="44">
        <v>5</v>
      </c>
      <c r="H167" s="48" t="s">
        <v>169</v>
      </c>
      <c r="I167" s="48">
        <v>0</v>
      </c>
      <c r="J167" s="48">
        <v>6.3123042879734262E-2</v>
      </c>
      <c r="K167" s="48">
        <v>0</v>
      </c>
      <c r="L167" s="44">
        <v>3689192</v>
      </c>
      <c r="R167" s="21"/>
      <c r="S167" s="21"/>
    </row>
    <row r="168" spans="1:19" s="43" customFormat="1">
      <c r="A168" s="44">
        <v>6</v>
      </c>
      <c r="B168" s="48" t="s">
        <v>321</v>
      </c>
      <c r="C168" s="48">
        <v>0</v>
      </c>
      <c r="D168" s="48">
        <v>0</v>
      </c>
      <c r="E168" s="48">
        <v>0.11044831115549503</v>
      </c>
      <c r="F168" s="44">
        <v>2480382</v>
      </c>
      <c r="G168" s="44">
        <v>6</v>
      </c>
      <c r="H168" s="48" t="s">
        <v>321</v>
      </c>
      <c r="I168" s="48">
        <v>0</v>
      </c>
      <c r="J168" s="48">
        <v>0</v>
      </c>
      <c r="K168" s="48">
        <v>6.293878206263355E-2</v>
      </c>
      <c r="L168" s="44">
        <v>2480382</v>
      </c>
      <c r="R168" s="21"/>
      <c r="S168" s="21"/>
    </row>
    <row r="169" spans="1:19" s="43" customFormat="1">
      <c r="A169" s="44">
        <v>7</v>
      </c>
      <c r="B169" s="48" t="s">
        <v>176</v>
      </c>
      <c r="C169" s="48">
        <v>0.10415903914189899</v>
      </c>
      <c r="D169" s="48">
        <v>0</v>
      </c>
      <c r="E169" s="48">
        <v>6.7129491956196899E-2</v>
      </c>
      <c r="F169" s="44">
        <v>7434864</v>
      </c>
      <c r="G169" s="44">
        <v>7</v>
      </c>
      <c r="H169" s="48" t="s">
        <v>295</v>
      </c>
      <c r="I169" s="48">
        <v>5.9361312626097097E-2</v>
      </c>
      <c r="J169" s="48">
        <v>0</v>
      </c>
      <c r="K169" s="48">
        <v>0</v>
      </c>
      <c r="L169" s="44">
        <v>8497745</v>
      </c>
      <c r="R169" s="21"/>
      <c r="S169" s="21"/>
    </row>
    <row r="170" spans="1:19" s="43" customFormat="1">
      <c r="A170" s="44">
        <v>8</v>
      </c>
      <c r="B170" s="48" t="s">
        <v>251</v>
      </c>
      <c r="C170" s="48">
        <v>0.36122864903469654</v>
      </c>
      <c r="D170" s="48">
        <v>0.24076945843686726</v>
      </c>
      <c r="E170" s="48">
        <v>0.32255283333126072</v>
      </c>
      <c r="F170" s="44">
        <v>5920853</v>
      </c>
      <c r="G170" s="44">
        <v>8</v>
      </c>
      <c r="H170" s="48" t="s">
        <v>251</v>
      </c>
      <c r="I170" s="48">
        <v>0.22862218294876258</v>
      </c>
      <c r="J170" s="48">
        <v>0.16171767698988315</v>
      </c>
      <c r="K170" s="48">
        <v>0.25824161428476855</v>
      </c>
      <c r="L170" s="44">
        <v>5920853</v>
      </c>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B79F11A1-10B1-4002-B2E3-157D8CD6B3F1}">
      <formula1>$C$113:$C$114</formula1>
    </dataValidation>
  </dataValidations>
  <hyperlinks>
    <hyperlink ref="O1:P1" location="Home_page" display="Back to home page" xr:uid="{01D302E4-8571-457C-84FC-DCDFEBA5EAC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A5C9CDF9-B994-491E-A8A5-FE5922663BC4}">
          <x14:colorSeries rgb="FF323232"/>
          <x14:colorNegative rgb="FFD00000"/>
          <x14:colorAxis rgb="FF000000"/>
          <x14:colorMarkers rgb="FFD00000"/>
          <x14:colorFirst rgb="FFD00000"/>
          <x14:colorLast rgb="FFD00000"/>
          <x14:colorHigh rgb="FFD00000"/>
          <x14:colorLow rgb="FFD00000"/>
          <x14:sparklines>
            <x14:sparkline>
              <xm:f>'South West beamers o250kW'!D3:N3</xm:f>
              <xm:sqref>C3</xm:sqref>
            </x14:sparkline>
            <x14:sparkline>
              <xm:f>'South West beamers o250kW'!D4:N4</xm:f>
              <xm:sqref>C4</xm:sqref>
            </x14:sparkline>
            <x14:sparkline>
              <xm:f>'South West beamers o250kW'!D5:N5</xm:f>
              <xm:sqref>C5</xm:sqref>
            </x14:sparkline>
            <x14:sparkline>
              <xm:f>'South West beamers o250kW'!D6:N6</xm:f>
              <xm:sqref>C6</xm:sqref>
            </x14:sparkline>
            <x14:sparkline>
              <xm:f>'South West beamers o250kW'!D7:N7</xm:f>
              <xm:sqref>C7</xm:sqref>
            </x14:sparkline>
            <x14:sparkline>
              <xm:f>'South West beamers o250kW'!D8:N8</xm:f>
              <xm:sqref>C8</xm:sqref>
            </x14:sparkline>
            <x14:sparkline>
              <xm:f>'South West beamers o250kW'!D9:N9</xm:f>
              <xm:sqref>C9</xm:sqref>
            </x14:sparkline>
            <x14:sparkline>
              <xm:f>'South West beamers o250kW'!D10:N10</xm:f>
              <xm:sqref>C10</xm:sqref>
            </x14:sparkline>
            <x14:sparkline>
              <xm:f>'South West beamers o250kW'!D11:N11</xm:f>
              <xm:sqref>C11</xm:sqref>
            </x14:sparkline>
            <x14:sparkline>
              <xm:f>'South West beamers o250kW'!D12:N12</xm:f>
              <xm:sqref>C12</xm:sqref>
            </x14:sparkline>
            <x14:sparkline>
              <xm:f>'South West beamers o250kW'!D13:N13</xm:f>
              <xm:sqref>C13</xm:sqref>
            </x14:sparkline>
            <x14:sparkline>
              <xm:f>'South West beamers o250kW'!D14:N14</xm:f>
              <xm:sqref>C14</xm:sqref>
            </x14:sparkline>
            <x14:sparkline>
              <xm:f>'South West beamers o250kW'!D15:N15</xm:f>
              <xm:sqref>C15</xm:sqref>
            </x14:sparkline>
            <x14:sparkline>
              <xm:f>'South West beamers o250kW'!D16:N16</xm:f>
              <xm:sqref>C16</xm:sqref>
            </x14:sparkline>
            <x14:sparkline>
              <xm:f>'South West beamers o250kW'!D17:N17</xm:f>
              <xm:sqref>C17</xm:sqref>
            </x14:sparkline>
            <x14:sparkline>
              <xm:f>'South West beamers o250kW'!D18:N18</xm:f>
              <xm:sqref>C18</xm:sqref>
            </x14:sparkline>
            <x14:sparkline>
              <xm:f>'South West beamers o250kW'!D19:N19</xm:f>
              <xm:sqref>C19</xm:sqref>
            </x14:sparkline>
            <x14:sparkline>
              <xm:f>'South West beamers o250kW'!D20:N20</xm:f>
              <xm:sqref>C20</xm:sqref>
            </x14:sparkline>
            <x14:sparkline>
              <xm:f>'South West beamers o250kW'!D21:N21</xm:f>
              <xm:sqref>C21</xm:sqref>
            </x14:sparkline>
            <x14:sparkline>
              <xm:f>'South West beamers o250kW'!D22:N22</xm:f>
              <xm:sqref>C22</xm:sqref>
            </x14:sparkline>
            <x14:sparkline>
              <xm:f>'South West beamers o250kW'!D23:N23</xm:f>
              <xm:sqref>C23</xm:sqref>
            </x14:sparkline>
            <x14:sparkline>
              <xm:f>'South West beamers o250kW'!D24:N24</xm:f>
              <xm:sqref>C24</xm:sqref>
            </x14:sparkline>
            <x14:sparkline>
              <xm:f>'South West beamers o250kW'!D25:N25</xm:f>
              <xm:sqref>C25</xm:sqref>
            </x14:sparkline>
            <x14:sparkline>
              <xm:f>'South West beamers o250kW'!D26:N26</xm:f>
              <xm:sqref>C26</xm:sqref>
            </x14:sparkline>
            <x14:sparkline>
              <xm:f>'South West beamers o250kW'!D27:N27</xm:f>
              <xm:sqref>C27</xm:sqref>
            </x14:sparkline>
            <x14:sparkline>
              <xm:f>'South West beamers o250kW'!D28:N28</xm:f>
              <xm:sqref>C28</xm:sqref>
            </x14:sparkline>
            <x14:sparkline>
              <xm:f>'South West beamers o250kW'!D29:N29</xm:f>
              <xm:sqref>C29</xm:sqref>
            </x14:sparkline>
            <x14:sparkline>
              <xm:f>'South West beamers o250kW'!D30:N30</xm:f>
              <xm:sqref>C30</xm:sqref>
            </x14:sparkline>
            <x14:sparkline>
              <xm:f>'South West beamers o250kW'!D31:N31</xm:f>
              <xm:sqref>C31</xm:sqref>
            </x14:sparkline>
            <x14:sparkline>
              <xm:f>'South West beamers o250kW'!D32:N32</xm:f>
              <xm:sqref>C32</xm:sqref>
            </x14:sparkline>
            <x14:sparkline>
              <xm:f>'South West beamers o250kW'!D33:N33</xm:f>
              <xm:sqref>C33</xm:sqref>
            </x14:sparkline>
            <x14:sparkline>
              <xm:f>'South West beamers o250kW'!D34:N34</xm:f>
              <xm:sqref>C34</xm:sqref>
            </x14:sparkline>
            <x14:sparkline>
              <xm:f>'South West beamers o250kW'!D35:N35</xm:f>
              <xm:sqref>C35</xm:sqref>
            </x14:sparkline>
            <x14:sparkline>
              <xm:f>'South West beamers o250kW'!D36:N36</xm:f>
              <xm:sqref>C36</xm:sqref>
            </x14:sparkline>
            <x14:sparkline>
              <xm:f>'South West beamers o250kW'!D37:N37</xm:f>
              <xm:sqref>C37</xm:sqref>
            </x14:sparkline>
            <x14:sparkline>
              <xm:f>'South West beamers o250kW'!D38:N38</xm:f>
              <xm:sqref>C38</xm:sqref>
            </x14:sparkline>
            <x14:sparkline>
              <xm:f>'South West beamers o250kW'!D39:N39</xm:f>
              <xm:sqref>C39</xm:sqref>
            </x14:sparkline>
            <x14:sparkline>
              <xm:f>'South West beamers o250kW'!D40:N40</xm:f>
              <xm:sqref>C40</xm:sqref>
            </x14:sparkline>
            <x14:sparkline>
              <xm:f>'South West beamers o250kW'!D41:N41</xm:f>
              <xm:sqref>C41</xm:sqref>
            </x14:sparkline>
            <x14:sparkline>
              <xm:f>'South West beamers o250kW'!D42:N42</xm:f>
              <xm:sqref>C42</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38A3-41C0-411B-9FEB-5DF2578F43C0}">
  <sheetPr codeName="Feuil30">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31</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27</v>
      </c>
      <c r="E3" s="28">
        <v>25</v>
      </c>
      <c r="F3" s="28">
        <v>23</v>
      </c>
      <c r="G3" s="28">
        <v>24</v>
      </c>
      <c r="H3" s="28">
        <v>23</v>
      </c>
      <c r="I3" s="28">
        <v>22</v>
      </c>
      <c r="J3" s="28">
        <v>25</v>
      </c>
      <c r="K3" s="28">
        <v>22</v>
      </c>
      <c r="L3" s="28">
        <v>24</v>
      </c>
      <c r="M3" s="28">
        <v>20</v>
      </c>
      <c r="N3" s="28">
        <v>22</v>
      </c>
      <c r="O3" s="29">
        <f t="shared" ref="O3:O42" si="0">IF(N3=0,"",IFERROR(IF(AND(N3&gt;0,D3&lt;0),"na",IF(AND(N3&lt;0,D3&lt;0),-1,1)*(N3-D3)/D3),""))</f>
        <v>-0.18518518518518517</v>
      </c>
      <c r="P3" s="29">
        <f t="shared" ref="P3:P42" si="1">IF(N3=0,"",IFERROR(IF(AND(N3&gt;0,J3&lt;0),"na",IF(AND(N3&lt;0,J3&lt;0),-1,1)*(N3-J3)/J3),""))</f>
        <v>-0.12</v>
      </c>
    </row>
    <row r="4" spans="1:17" ht="18" customHeight="1">
      <c r="A4" s="185"/>
      <c r="B4" s="30" t="s">
        <v>190</v>
      </c>
      <c r="C4" s="31"/>
      <c r="D4" s="31">
        <v>5876</v>
      </c>
      <c r="E4" s="31">
        <v>5452</v>
      </c>
      <c r="F4" s="31">
        <v>5031</v>
      </c>
      <c r="G4" s="31">
        <v>5253</v>
      </c>
      <c r="H4" s="31">
        <v>5032</v>
      </c>
      <c r="I4" s="31">
        <v>4811</v>
      </c>
      <c r="J4" s="31">
        <v>5454</v>
      </c>
      <c r="K4" s="31">
        <v>4805</v>
      </c>
      <c r="L4" s="31">
        <v>5227</v>
      </c>
      <c r="M4" s="31">
        <v>4359</v>
      </c>
      <c r="N4" s="31">
        <v>4800</v>
      </c>
      <c r="O4" s="29">
        <f t="shared" si="0"/>
        <v>-0.18311776718856365</v>
      </c>
      <c r="P4" s="29">
        <f t="shared" si="1"/>
        <v>-0.11991199119911991</v>
      </c>
    </row>
    <row r="5" spans="1:17" ht="18" customHeight="1">
      <c r="A5" s="185"/>
      <c r="B5" s="30" t="s">
        <v>191</v>
      </c>
      <c r="C5" s="31"/>
      <c r="D5" s="31">
        <v>2663</v>
      </c>
      <c r="E5" s="31">
        <v>2596</v>
      </c>
      <c r="F5" s="31">
        <v>2597</v>
      </c>
      <c r="G5" s="31">
        <v>2539</v>
      </c>
      <c r="H5" s="31">
        <v>2389</v>
      </c>
      <c r="I5" s="31">
        <v>2372</v>
      </c>
      <c r="J5" s="31">
        <v>2474</v>
      </c>
      <c r="K5" s="31">
        <v>2318</v>
      </c>
      <c r="L5" s="31">
        <v>2300</v>
      </c>
      <c r="M5" s="31">
        <v>2076</v>
      </c>
      <c r="N5" s="31">
        <v>2290</v>
      </c>
      <c r="O5" s="29">
        <f t="shared" si="0"/>
        <v>-0.14006759294029289</v>
      </c>
      <c r="P5" s="29">
        <f t="shared" si="1"/>
        <v>-7.4373484236054971E-2</v>
      </c>
      <c r="Q5" s="32"/>
    </row>
    <row r="6" spans="1:17" ht="18" customHeight="1">
      <c r="A6" s="185"/>
      <c r="B6" s="30" t="s">
        <v>192</v>
      </c>
      <c r="C6" s="31"/>
      <c r="D6" s="31">
        <v>6127.19482421875</v>
      </c>
      <c r="E6" s="31">
        <v>5793.390625</v>
      </c>
      <c r="F6" s="31">
        <v>5474.92822265625</v>
      </c>
      <c r="G6" s="31">
        <v>5629.2255859375</v>
      </c>
      <c r="H6" s="31">
        <v>5366.779296875</v>
      </c>
      <c r="I6" s="31">
        <v>5195.689453125</v>
      </c>
      <c r="J6" s="31">
        <v>5717.27099609375</v>
      </c>
      <c r="K6" s="31">
        <v>5133.99462890625</v>
      </c>
      <c r="L6" s="31">
        <v>5366.30029296875</v>
      </c>
      <c r="M6" s="31">
        <v>4624.28076171875</v>
      </c>
      <c r="N6" s="31">
        <v>5074.85595703125</v>
      </c>
      <c r="O6" s="29">
        <f t="shared" si="0"/>
        <v>-0.17174888303338368</v>
      </c>
      <c r="P6" s="29">
        <f t="shared" si="1"/>
        <v>-0.11236393018652109</v>
      </c>
    </row>
    <row r="7" spans="1:17" ht="18" customHeight="1">
      <c r="A7" s="185"/>
      <c r="B7" s="30" t="s">
        <v>193</v>
      </c>
      <c r="C7" s="31"/>
      <c r="D7" s="31">
        <v>6154.83984375</v>
      </c>
      <c r="E7" s="31">
        <v>5894.142578125</v>
      </c>
      <c r="F7" s="31">
        <v>5080.89013671875</v>
      </c>
      <c r="G7" s="31">
        <v>5238.453125</v>
      </c>
      <c r="H7" s="31">
        <v>4810.5810546875</v>
      </c>
      <c r="I7" s="31">
        <v>4537.96044921875</v>
      </c>
      <c r="J7" s="31">
        <v>4549.88330078125</v>
      </c>
      <c r="K7" s="31">
        <v>4590.57666015625</v>
      </c>
      <c r="L7" s="31">
        <v>4148.69091796875</v>
      </c>
      <c r="M7" s="31">
        <v>3608.5673828125</v>
      </c>
      <c r="N7" s="31">
        <v>4061.44091796875</v>
      </c>
      <c r="O7" s="29">
        <f t="shared" si="0"/>
        <v>-0.34012240430707796</v>
      </c>
      <c r="P7" s="29">
        <f t="shared" si="1"/>
        <v>-0.10735272764658177</v>
      </c>
    </row>
    <row r="8" spans="1:17" ht="18" customHeight="1">
      <c r="A8" s="185"/>
      <c r="B8" s="30" t="s">
        <v>194</v>
      </c>
      <c r="C8" s="33"/>
      <c r="D8" s="33">
        <f ca="1">19.701052*OFFSET(D$113,MATCH($N$1,$C$113:$C$114,0)-1,0)</f>
        <v>19.701052000000001</v>
      </c>
      <c r="E8" s="33">
        <f ca="1">18.102878*OFFSET(E$113,MATCH($N$1,$C$113:$C$114,0)-1,0)</f>
        <v>18.102878</v>
      </c>
      <c r="F8" s="33">
        <f ca="1">16.204426*OFFSET(F$113,MATCH($N$1,$C$113:$C$114,0)-1,0)</f>
        <v>16.204426000000002</v>
      </c>
      <c r="G8" s="33">
        <f ca="1">15.433615*OFFSET(G$113,MATCH($N$1,$C$113:$C$114,0)-1,0)</f>
        <v>15.433615</v>
      </c>
      <c r="H8" s="33">
        <f ca="1">17.633806*OFFSET(H$113,MATCH($N$1,$C$113:$C$114,0)-1,0)</f>
        <v>17.633806</v>
      </c>
      <c r="I8" s="33">
        <f ca="1">18.796624*OFFSET(I$113,MATCH($N$1,$C$113:$C$114,0)-1,0)</f>
        <v>18.796624000000001</v>
      </c>
      <c r="J8" s="33">
        <f ca="1">18.702474*OFFSET(J$113,MATCH($N$1,$C$113:$C$114,0)-1,0)</f>
        <v>18.702473999999999</v>
      </c>
      <c r="K8" s="33">
        <f ca="1">17.17666*OFFSET(K$113,MATCH($N$1,$C$113:$C$114,0)-1,0)</f>
        <v>17.176659999999998</v>
      </c>
      <c r="L8" s="33">
        <f ca="1">14.30075*OFFSET(L$113,MATCH($N$1,$C$113:$C$114,0)-1,0)</f>
        <v>14.300750000000001</v>
      </c>
      <c r="M8" s="33">
        <f ca="1">14.10452*OFFSET(M$113,MATCH($N$1,$C$113:$C$114,0)-1,0)</f>
        <v>14.104520000000001</v>
      </c>
      <c r="N8" s="33">
        <v>17.748643999999999</v>
      </c>
      <c r="O8" s="29">
        <f t="shared" ca="1" si="0"/>
        <v>-9.910171294406013E-2</v>
      </c>
      <c r="P8" s="29">
        <f t="shared" ca="1" si="1"/>
        <v>-5.1000204571865736E-2</v>
      </c>
    </row>
    <row r="9" spans="1:17" ht="18" customHeight="1">
      <c r="A9" s="185"/>
      <c r="B9" s="30" t="s">
        <v>195</v>
      </c>
      <c r="C9" s="31"/>
      <c r="D9" s="31">
        <v>6583</v>
      </c>
      <c r="E9" s="31">
        <v>6207</v>
      </c>
      <c r="F9" s="31">
        <v>5506</v>
      </c>
      <c r="G9" s="31">
        <v>5318</v>
      </c>
      <c r="H9" s="31">
        <v>5368</v>
      </c>
      <c r="I9" s="31">
        <v>5005</v>
      </c>
      <c r="J9" s="31">
        <v>5492</v>
      </c>
      <c r="K9" s="31">
        <v>4937</v>
      </c>
      <c r="L9" s="31">
        <v>4827</v>
      </c>
      <c r="M9" s="31">
        <v>4326</v>
      </c>
      <c r="N9" s="31">
        <v>4790</v>
      </c>
      <c r="O9" s="29">
        <f t="shared" si="0"/>
        <v>-0.27236822117575571</v>
      </c>
      <c r="P9" s="29">
        <f t="shared" si="1"/>
        <v>-0.12782228696285505</v>
      </c>
    </row>
    <row r="10" spans="1:17" ht="18" customHeight="1">
      <c r="A10" s="185"/>
      <c r="B10" s="30" t="s">
        <v>196</v>
      </c>
      <c r="C10" s="31"/>
      <c r="D10" s="31">
        <v>7281.55</v>
      </c>
      <c r="E10" s="31">
        <v>7011.45</v>
      </c>
      <c r="F10" s="31">
        <v>6416.75</v>
      </c>
      <c r="G10" s="31">
        <v>6065.4000000000005</v>
      </c>
      <c r="H10" s="31">
        <v>6074.55</v>
      </c>
      <c r="I10" s="31">
        <v>5798.2</v>
      </c>
      <c r="J10" s="31">
        <v>6051.5</v>
      </c>
      <c r="K10" s="31">
        <v>5552.6500000000005</v>
      </c>
      <c r="L10" s="31">
        <v>5394.1</v>
      </c>
      <c r="M10" s="31">
        <v>4939.55</v>
      </c>
      <c r="N10" s="31">
        <v>5411.6500000000005</v>
      </c>
      <c r="O10" s="29">
        <f t="shared" si="0"/>
        <v>-0.25679971983986921</v>
      </c>
      <c r="P10" s="29">
        <f t="shared" si="1"/>
        <v>-0.10573411550855151</v>
      </c>
    </row>
    <row r="11" spans="1:17" ht="18" customHeight="1">
      <c r="A11" s="185"/>
      <c r="B11" s="30" t="s">
        <v>197</v>
      </c>
      <c r="C11" s="31"/>
      <c r="D11" s="31">
        <v>286.08868408203125</v>
      </c>
      <c r="E11" s="31">
        <v>207.0938720703125</v>
      </c>
      <c r="F11" s="31">
        <v>196.35928344726563</v>
      </c>
      <c r="G11" s="31">
        <v>137.98820495605469</v>
      </c>
      <c r="H11" s="31">
        <v>102.05033111572266</v>
      </c>
      <c r="I11" s="31">
        <v>172.81985473632813</v>
      </c>
      <c r="J11" s="31">
        <v>149.41351318359375</v>
      </c>
      <c r="K11" s="31">
        <v>267.29757690429688</v>
      </c>
      <c r="L11" s="31">
        <v>135.65321350097656</v>
      </c>
      <c r="M11" s="31">
        <v>149.97993469238281</v>
      </c>
      <c r="N11" s="31">
        <v>164.07807922363281</v>
      </c>
      <c r="O11" s="34">
        <f t="shared" si="0"/>
        <v>-0.42647826232586639</v>
      </c>
      <c r="P11" s="34">
        <f t="shared" si="1"/>
        <v>9.8147521784189562E-2</v>
      </c>
    </row>
    <row r="12" spans="1:17" ht="18" customHeight="1">
      <c r="A12" s="186" t="s">
        <v>198</v>
      </c>
      <c r="B12" s="35" t="s">
        <v>199</v>
      </c>
      <c r="C12" s="36"/>
      <c r="D12" s="36">
        <v>20.478147506713867</v>
      </c>
      <c r="E12" s="36">
        <v>21.013198852539063</v>
      </c>
      <c r="F12" s="36">
        <v>21.566085815429688</v>
      </c>
      <c r="G12" s="36">
        <v>21.382499694824219</v>
      </c>
      <c r="H12" s="36">
        <v>21.270000457763672</v>
      </c>
      <c r="I12" s="36">
        <v>21.602727890014648</v>
      </c>
      <c r="J12" s="36">
        <v>20.686800003051758</v>
      </c>
      <c r="K12" s="36">
        <v>21.149545669555664</v>
      </c>
      <c r="L12" s="36">
        <v>19.852499008178711</v>
      </c>
      <c r="M12" s="36">
        <v>20.79949951171875</v>
      </c>
      <c r="N12" s="36">
        <v>20.69999885559082</v>
      </c>
      <c r="O12" s="29">
        <f t="shared" si="0"/>
        <v>1.0833565331249715E-2</v>
      </c>
      <c r="P12" s="29">
        <f t="shared" si="1"/>
        <v>6.3803258779102513E-4</v>
      </c>
    </row>
    <row r="13" spans="1:17" ht="18" customHeight="1">
      <c r="A13" s="187"/>
      <c r="B13" s="37" t="s">
        <v>190</v>
      </c>
      <c r="C13" s="31"/>
      <c r="D13" s="31">
        <v>217.62962341308594</v>
      </c>
      <c r="E13" s="31">
        <v>218.08000183105469</v>
      </c>
      <c r="F13" s="31">
        <v>218.7391357421875</v>
      </c>
      <c r="G13" s="31">
        <v>218.875</v>
      </c>
      <c r="H13" s="31">
        <v>218.78260803222656</v>
      </c>
      <c r="I13" s="31">
        <v>218.68182373046875</v>
      </c>
      <c r="J13" s="31">
        <v>218.16000366210938</v>
      </c>
      <c r="K13" s="31">
        <v>218.40908813476563</v>
      </c>
      <c r="L13" s="31">
        <v>217.79167175292969</v>
      </c>
      <c r="M13" s="31">
        <v>217.94999694824219</v>
      </c>
      <c r="N13" s="31">
        <v>218.18182373046875</v>
      </c>
      <c r="O13" s="29">
        <f t="shared" si="0"/>
        <v>2.5373398562321321E-3</v>
      </c>
      <c r="P13" s="29">
        <f t="shared" si="1"/>
        <v>1.0001864683303894E-4</v>
      </c>
    </row>
    <row r="14" spans="1:17" ht="18" customHeight="1">
      <c r="A14" s="187"/>
      <c r="B14" s="37" t="s">
        <v>191</v>
      </c>
      <c r="C14" s="31"/>
      <c r="D14" s="31">
        <v>98.629631042480469</v>
      </c>
      <c r="E14" s="31">
        <v>103.83999633789063</v>
      </c>
      <c r="F14" s="31">
        <v>112.91304016113281</v>
      </c>
      <c r="G14" s="31">
        <v>105.79166412353516</v>
      </c>
      <c r="H14" s="31">
        <v>103.86956787109375</v>
      </c>
      <c r="I14" s="31">
        <v>107.81818389892578</v>
      </c>
      <c r="J14" s="31">
        <v>98.959999084472656</v>
      </c>
      <c r="K14" s="31">
        <v>105.36363983154297</v>
      </c>
      <c r="L14" s="31">
        <v>95.833335876464844</v>
      </c>
      <c r="M14" s="31">
        <v>103.80000305175781</v>
      </c>
      <c r="N14" s="31">
        <v>104.09091186523438</v>
      </c>
      <c r="O14" s="29">
        <f t="shared" si="0"/>
        <v>5.5371603493089158E-2</v>
      </c>
      <c r="P14" s="29">
        <f t="shared" si="1"/>
        <v>5.1848351134097637E-2</v>
      </c>
    </row>
    <row r="15" spans="1:17" ht="18" customHeight="1">
      <c r="A15" s="187"/>
      <c r="B15" s="37" t="s">
        <v>192</v>
      </c>
      <c r="C15" s="31"/>
      <c r="D15" s="31">
        <v>226.93313598632813</v>
      </c>
      <c r="E15" s="31">
        <v>231.73562622070313</v>
      </c>
      <c r="F15" s="31">
        <v>238.04034423828125</v>
      </c>
      <c r="G15" s="31">
        <v>234.55105590820313</v>
      </c>
      <c r="H15" s="31">
        <v>233.33824157714844</v>
      </c>
      <c r="I15" s="31">
        <v>236.16769409179688</v>
      </c>
      <c r="J15" s="31">
        <v>228.69084167480469</v>
      </c>
      <c r="K15" s="31">
        <v>233.36338806152344</v>
      </c>
      <c r="L15" s="31">
        <v>223.59584045410156</v>
      </c>
      <c r="M15" s="31">
        <v>231.21403503417969</v>
      </c>
      <c r="N15" s="31">
        <v>230.67527770996094</v>
      </c>
      <c r="O15" s="29">
        <f t="shared" si="0"/>
        <v>1.6490063063590073E-2</v>
      </c>
      <c r="P15" s="29">
        <f t="shared" si="1"/>
        <v>8.6773743129516818E-3</v>
      </c>
    </row>
    <row r="16" spans="1:17" ht="18" customHeight="1">
      <c r="A16" s="187"/>
      <c r="B16" s="37" t="s">
        <v>193</v>
      </c>
      <c r="C16" s="33"/>
      <c r="D16" s="33">
        <v>227.95703125</v>
      </c>
      <c r="E16" s="33">
        <v>235.76571655273438</v>
      </c>
      <c r="F16" s="33">
        <v>220.90826416015625</v>
      </c>
      <c r="G16" s="33">
        <v>218.26887512207031</v>
      </c>
      <c r="H16" s="33">
        <v>209.15570068359375</v>
      </c>
      <c r="I16" s="33">
        <v>206.27093505859375</v>
      </c>
      <c r="J16" s="33">
        <v>181.99533081054688</v>
      </c>
      <c r="K16" s="33">
        <v>208.66256713867188</v>
      </c>
      <c r="L16" s="33">
        <v>172.86212158203125</v>
      </c>
      <c r="M16" s="33">
        <v>180.42835998535156</v>
      </c>
      <c r="N16" s="33">
        <v>184.61094665527344</v>
      </c>
      <c r="O16" s="29">
        <f t="shared" si="0"/>
        <v>-0.19015024172335795</v>
      </c>
      <c r="P16" s="29">
        <f t="shared" si="1"/>
        <v>1.4371884339435944E-2</v>
      </c>
    </row>
    <row r="17" spans="1:16" ht="18" customHeight="1">
      <c r="A17" s="187"/>
      <c r="B17" s="37" t="s">
        <v>200</v>
      </c>
      <c r="C17" s="33"/>
      <c r="D17" s="33">
        <f ca="1">729.6685625*OFFSET(D$113,MATCH($N$1,$C$113:$C$114,0)-1,0)</f>
        <v>729.66856250000001</v>
      </c>
      <c r="E17" s="33">
        <f ca="1">724.115125*OFFSET(E$113,MATCH($N$1,$C$113:$C$114,0)-1,0)</f>
        <v>724.11512500000003</v>
      </c>
      <c r="F17" s="33">
        <f ca="1">704.54025*OFFSET(F$113,MATCH($N$1,$C$113:$C$114,0)-1,0)</f>
        <v>704.54025000000001</v>
      </c>
      <c r="G17" s="33">
        <f ca="1">643.0673125*OFFSET(G$113,MATCH($N$1,$C$113:$C$114,0)-1,0)</f>
        <v>643.06731249999996</v>
      </c>
      <c r="H17" s="33">
        <f ca="1">766.6871875*OFFSET(H$113,MATCH($N$1,$C$113:$C$114,0)-1,0)</f>
        <v>766.68718750000005</v>
      </c>
      <c r="I17" s="33">
        <f ca="1">854.3920625*OFFSET(I$113,MATCH($N$1,$C$113:$C$114,0)-1,0)</f>
        <v>854.39206249999995</v>
      </c>
      <c r="J17" s="33">
        <f ca="1">748.0989375*OFFSET(J$113,MATCH($N$1,$C$113:$C$114,0)-1,0)</f>
        <v>748.09893750000003</v>
      </c>
      <c r="K17" s="33">
        <f ca="1">780.75725*OFFSET(K$113,MATCH($N$1,$C$113:$C$114,0)-1,0)</f>
        <v>780.75725</v>
      </c>
      <c r="L17" s="33">
        <f ca="1">595.864625*OFFSET(L$113,MATCH($N$1,$C$113:$C$114,0)-1,0)</f>
        <v>595.86462500000005</v>
      </c>
      <c r="M17" s="33">
        <f ca="1">705.226*OFFSET(M$113,MATCH($N$1,$C$113:$C$114,0)-1,0)</f>
        <v>705.226</v>
      </c>
      <c r="N17" s="33">
        <v>806.75656249999997</v>
      </c>
      <c r="O17" s="29">
        <f t="shared" ca="1" si="0"/>
        <v>0.10564796670954282</v>
      </c>
      <c r="P17" s="29">
        <f t="shared" ca="1" si="1"/>
        <v>7.8408913660567708E-2</v>
      </c>
    </row>
    <row r="18" spans="1:16" ht="18" customHeight="1">
      <c r="A18" s="187"/>
      <c r="B18" s="37" t="s">
        <v>195</v>
      </c>
      <c r="C18" s="31"/>
      <c r="D18" s="31">
        <v>243.8148193359375</v>
      </c>
      <c r="E18" s="31">
        <v>248.27999877929688</v>
      </c>
      <c r="F18" s="31">
        <v>239.39131164550781</v>
      </c>
      <c r="G18" s="31">
        <v>221.58332824707031</v>
      </c>
      <c r="H18" s="31">
        <v>233.39131164550781</v>
      </c>
      <c r="I18" s="31">
        <v>227.5</v>
      </c>
      <c r="J18" s="31">
        <v>219.67999267578125</v>
      </c>
      <c r="K18" s="31">
        <v>224.40908813476563</v>
      </c>
      <c r="L18" s="31">
        <v>201.125</v>
      </c>
      <c r="M18" s="31">
        <v>216.30000305175781</v>
      </c>
      <c r="N18" s="31">
        <v>217.72727966308594</v>
      </c>
      <c r="O18" s="29">
        <f t="shared" si="0"/>
        <v>-0.10699735046419447</v>
      </c>
      <c r="P18" s="29">
        <f t="shared" si="1"/>
        <v>-8.888897841403608E-3</v>
      </c>
    </row>
    <row r="19" spans="1:16" ht="18" customHeight="1">
      <c r="A19" s="187"/>
      <c r="B19" s="37" t="s">
        <v>201</v>
      </c>
      <c r="C19" s="31"/>
      <c r="D19" s="31">
        <v>21.222221374511719</v>
      </c>
      <c r="E19" s="31">
        <v>22.440000534057617</v>
      </c>
      <c r="F19" s="31">
        <v>21.782608032226563</v>
      </c>
      <c r="G19" s="31">
        <v>25.291666030883789</v>
      </c>
      <c r="H19" s="31">
        <v>26.65217399597168</v>
      </c>
      <c r="I19" s="31">
        <v>28.272727966308594</v>
      </c>
      <c r="J19" s="31">
        <v>26.440000534057617</v>
      </c>
      <c r="K19" s="31">
        <v>26.590909957885742</v>
      </c>
      <c r="L19" s="31">
        <v>25.416666030883789</v>
      </c>
      <c r="M19" s="31">
        <v>26.899999618530273</v>
      </c>
      <c r="N19" s="31">
        <v>26.818181991577148</v>
      </c>
      <c r="O19" s="29">
        <f t="shared" si="0"/>
        <v>0.26368401866669255</v>
      </c>
      <c r="P19" s="29">
        <f t="shared" si="1"/>
        <v>1.4303383127106677E-2</v>
      </c>
    </row>
    <row r="20" spans="1:16" ht="18" customHeight="1">
      <c r="A20" s="187"/>
      <c r="B20" s="37" t="s">
        <v>202</v>
      </c>
      <c r="C20" s="38"/>
      <c r="D20" s="38">
        <v>0.93495970964431763</v>
      </c>
      <c r="E20" s="38">
        <v>0.949596107006073</v>
      </c>
      <c r="F20" s="38">
        <v>0.92279148101806641</v>
      </c>
      <c r="G20" s="38">
        <v>0.98504197597503662</v>
      </c>
      <c r="H20" s="38">
        <v>0.89615887403488159</v>
      </c>
      <c r="I20" s="38">
        <v>0.90668541193008423</v>
      </c>
      <c r="J20" s="38">
        <v>0.8284565806388855</v>
      </c>
      <c r="K20" s="38">
        <v>0.92983120679855347</v>
      </c>
      <c r="L20" s="38">
        <v>0.85947602987289429</v>
      </c>
      <c r="M20" s="38">
        <v>0.83415794372558594</v>
      </c>
      <c r="N20" s="38">
        <v>0.8478999137878418</v>
      </c>
      <c r="O20" s="29">
        <f t="shared" si="0"/>
        <v>-9.311609362246806E-2</v>
      </c>
      <c r="P20" s="29">
        <f t="shared" si="1"/>
        <v>2.3469344807379132E-2</v>
      </c>
    </row>
    <row r="21" spans="1:16" ht="18" customHeight="1">
      <c r="A21" s="188"/>
      <c r="B21" s="39" t="s">
        <v>203</v>
      </c>
      <c r="C21" s="40"/>
      <c r="D21" s="40">
        <f ca="1">3201*OFFSET(D$113,MATCH($N$1,$C$113:$C$114,0)-1,0)</f>
        <v>3201</v>
      </c>
      <c r="E21" s="40">
        <f ca="1">3071*OFFSET(E$113,MATCH($N$1,$C$113:$C$114,0)-1,0)</f>
        <v>3071</v>
      </c>
      <c r="F21" s="40">
        <f ca="1">3189*OFFSET(F$113,MATCH($N$1,$C$113:$C$114,0)-1,0)</f>
        <v>3189</v>
      </c>
      <c r="G21" s="40">
        <f ca="1">2946*OFFSET(G$113,MATCH($N$1,$C$113:$C$114,0)-1,0)</f>
        <v>2946</v>
      </c>
      <c r="H21" s="40">
        <f ca="1">3666*OFFSET(H$113,MATCH($N$1,$C$113:$C$114,0)-1,0)</f>
        <v>3666</v>
      </c>
      <c r="I21" s="40">
        <f ca="1">4142*OFFSET(I$113,MATCH($N$1,$C$113:$C$114,0)-1,0)</f>
        <v>4142</v>
      </c>
      <c r="J21" s="40">
        <f ca="1">4111*OFFSET(J$113,MATCH($N$1,$C$113:$C$114,0)-1,0)</f>
        <v>4111</v>
      </c>
      <c r="K21" s="40">
        <f ca="1">3742*OFFSET(K$113,MATCH($N$1,$C$113:$C$114,0)-1,0)</f>
        <v>3742</v>
      </c>
      <c r="L21" s="40">
        <f ca="1">3447*OFFSET(L$113,MATCH($N$1,$C$113:$C$114,0)-1,0)</f>
        <v>3447</v>
      </c>
      <c r="M21" s="40">
        <f ca="1">3909*OFFSET(M$113,MATCH($N$1,$C$113:$C$114,0)-1,0)</f>
        <v>3909</v>
      </c>
      <c r="N21" s="40">
        <v>4370</v>
      </c>
      <c r="O21" s="34">
        <f t="shared" ca="1" si="0"/>
        <v>0.36519837550765388</v>
      </c>
      <c r="P21" s="34">
        <f t="shared" ca="1" si="1"/>
        <v>6.3001702748722938E-2</v>
      </c>
    </row>
    <row r="22" spans="1:16" ht="18" customHeight="1">
      <c r="A22" s="189" t="s">
        <v>204</v>
      </c>
      <c r="B22" s="35" t="s">
        <v>205</v>
      </c>
      <c r="C22" s="41"/>
      <c r="D22" s="41">
        <v>4.2919013629767271</v>
      </c>
      <c r="E22" s="41">
        <v>4.3468476751187071</v>
      </c>
      <c r="F22" s="41">
        <v>4.2099381255955901</v>
      </c>
      <c r="G22" s="41">
        <v>4.4918609369670488</v>
      </c>
      <c r="H22" s="41">
        <v>4.0842536957200126</v>
      </c>
      <c r="I22" s="41">
        <v>4.1267879565196361</v>
      </c>
      <c r="J22" s="41">
        <v>3.7922992737046153</v>
      </c>
      <c r="K22" s="41">
        <v>4.2545362521853063</v>
      </c>
      <c r="L22" s="41">
        <v>3.9176328501025517</v>
      </c>
      <c r="M22" s="41">
        <v>3.8174020562427544</v>
      </c>
      <c r="N22" s="41">
        <v>3.874285851144089</v>
      </c>
      <c r="O22" s="29">
        <f t="shared" si="0"/>
        <v>-9.730314760612141E-2</v>
      </c>
      <c r="P22" s="29">
        <f t="shared" si="1"/>
        <v>2.1619226628014188E-2</v>
      </c>
    </row>
    <row r="23" spans="1:16" ht="18" customHeight="1">
      <c r="A23" s="189"/>
      <c r="B23" s="37" t="s">
        <v>206</v>
      </c>
      <c r="C23" s="38"/>
      <c r="D23" s="38">
        <f ca="1">13.7379640397252*OFFSET(D$113,MATCH($N$1,$C$113:$C$114,0)-1,0)</f>
        <v>13.737964039725201</v>
      </c>
      <c r="E23" s="38">
        <f ca="1">13.3506185447472*OFFSET(E$113,MATCH($N$1,$C$113:$C$114,0)-1,0)</f>
        <v>13.350618544747199</v>
      </c>
      <c r="F23" s="38">
        <f ca="1">13.4267084609441*OFFSET(F$113,MATCH($N$1,$C$113:$C$114,0)-1,0)</f>
        <v>13.4267084609441</v>
      </c>
      <c r="G23" s="38">
        <f ca="1">13.2339938034851*OFFSET(G$113,MATCH($N$1,$C$113:$C$114,0)-1,0)</f>
        <v>13.233993803485101</v>
      </c>
      <c r="H23" s="38">
        <f ca="1">14.9713585083922*OFFSET(H$113,MATCH($N$1,$C$113:$C$114,0)-1,0)</f>
        <v>14.9713585083922</v>
      </c>
      <c r="I23" s="38">
        <f ca="1">17.0935128241378*OFFSET(I$113,MATCH($N$1,$C$113:$C$114,0)-1,0)</f>
        <v>17.0935128241378</v>
      </c>
      <c r="J23" s="38">
        <f ca="1">15.5883947390591*OFFSET(J$113,MATCH($N$1,$C$113:$C$114,0)-1,0)</f>
        <v>15.588394739059099</v>
      </c>
      <c r="K23" s="38">
        <f ca="1">15.9192905073096*OFFSET(K$113,MATCH($N$1,$C$113:$C$114,0)-1,0)</f>
        <v>15.919290507309601</v>
      </c>
      <c r="L23" s="38">
        <f ca="1">13.5042819545997*OFFSET(L$113,MATCH($N$1,$C$113:$C$114,0)-1,0)</f>
        <v>13.504281954599699</v>
      </c>
      <c r="M23" s="38">
        <f ca="1">14.9207762168565*OFFSET(M$113,MATCH($N$1,$C$113:$C$114,0)-1,0)</f>
        <v>14.920776216856501</v>
      </c>
      <c r="N23" s="38">
        <v>16.93077031476296</v>
      </c>
      <c r="O23" s="29">
        <f t="shared" ca="1" si="0"/>
        <v>0.23240752893262226</v>
      </c>
      <c r="P23" s="29">
        <f t="shared" ca="1" si="1"/>
        <v>8.6113778754930648E-2</v>
      </c>
    </row>
    <row r="24" spans="1:16" ht="18" customHeight="1">
      <c r="A24" s="189"/>
      <c r="B24" s="37" t="s">
        <v>153</v>
      </c>
      <c r="C24" s="38"/>
      <c r="D24" s="38">
        <f ca="1">12.3573851636728*OFFSET(D$113,MATCH($N$1,$C$113:$C$114,0)-1,0)</f>
        <v>12.3573851636728</v>
      </c>
      <c r="E24" s="38">
        <f ca="1">12.5718036753304*OFFSET(E$113,MATCH($N$1,$C$113:$C$114,0)-1,0)</f>
        <v>12.571803675330401</v>
      </c>
      <c r="F24" s="38">
        <f ca="1">13.15251216417*OFFSET(F$113,MATCH($N$1,$C$113:$C$114,0)-1,0)</f>
        <v>13.15251216417</v>
      </c>
      <c r="G24" s="38">
        <f ca="1">12.1033484831031*OFFSET(G$113,MATCH($N$1,$C$113:$C$114,0)-1,0)</f>
        <v>12.103348483103099</v>
      </c>
      <c r="H24" s="38">
        <f ca="1">11.3673469527859*OFFSET(H$113,MATCH($N$1,$C$113:$C$114,0)-1,0)</f>
        <v>11.367346952785899</v>
      </c>
      <c r="I24" s="38">
        <f ca="1">13.1628734259312*OFFSET(I$113,MATCH($N$1,$C$113:$C$114,0)-1,0)</f>
        <v>13.162873425931201</v>
      </c>
      <c r="J24" s="38">
        <f ca="1">13.3734411977891*OFFSET(J$113,MATCH($N$1,$C$113:$C$114,0)-1,0)</f>
        <v>13.3734411977891</v>
      </c>
      <c r="K24" s="38">
        <f ca="1">12.218353439144*OFFSET(K$113,MATCH($N$1,$C$113:$C$114,0)-1,0)</f>
        <v>12.218353439144</v>
      </c>
      <c r="L24" s="38">
        <f ca="1">10.9861413903746*OFFSET(L$113,MATCH($N$1,$C$113:$C$114,0)-1,0)</f>
        <v>10.9861413903746</v>
      </c>
      <c r="M24" s="38">
        <f ca="1">12.1392077008037*OFFSET(M$113,MATCH($N$1,$C$113:$C$114,0)-1,0)</f>
        <v>12.1392077008037</v>
      </c>
      <c r="N24" s="38">
        <v>14.613250780978385</v>
      </c>
      <c r="O24" s="29">
        <f t="shared" ca="1" si="0"/>
        <v>0.18255201949496469</v>
      </c>
      <c r="P24" s="29">
        <f t="shared" ca="1" si="1"/>
        <v>9.2706848211532134E-2</v>
      </c>
    </row>
    <row r="25" spans="1:16" ht="18" customHeight="1">
      <c r="A25" s="189"/>
      <c r="B25" s="37" t="s">
        <v>154</v>
      </c>
      <c r="C25" s="38"/>
      <c r="D25" s="38">
        <f ca="1">1.97289844145078*OFFSET(D$113,MATCH($N$1,$C$113:$C$114,0)-1,0)</f>
        <v>1.97289844145078</v>
      </c>
      <c r="E25" s="38">
        <f ca="1">0.85489437890214*OFFSET(E$113,MATCH($N$1,$C$113:$C$114,0)-1,0)</f>
        <v>0.85489437890214004</v>
      </c>
      <c r="F25" s="38">
        <f ca="1">0.732120041697005*OFFSET(F$113,MATCH($N$1,$C$113:$C$114,0)-1,0)</f>
        <v>0.73212004169700495</v>
      </c>
      <c r="G25" s="38">
        <f ca="1">1.92356827682108*OFFSET(G$113,MATCH($N$1,$C$113:$C$114,0)-1,0)</f>
        <v>1.92356827682108</v>
      </c>
      <c r="H25" s="38">
        <f ca="1">3.60401155560634*OFFSET(H$113,MATCH($N$1,$C$113:$C$114,0)-1,0)</f>
        <v>3.6040115556063399</v>
      </c>
      <c r="I25" s="38">
        <f ca="1">3.93070700880206*OFFSET(I$113,MATCH($N$1,$C$113:$C$114,0)-1,0)</f>
        <v>3.9307070088020599</v>
      </c>
      <c r="J25" s="38">
        <f ca="1">2.41713708733818*OFFSET(J$113,MATCH($N$1,$C$113:$C$114,0)-1,0)</f>
        <v>2.4171370873381801</v>
      </c>
      <c r="K25" s="38">
        <f ca="1">3.77670477760654*OFFSET(K$113,MATCH($N$1,$C$113:$C$114,0)-1,0)</f>
        <v>3.7767047776065401</v>
      </c>
      <c r="L25" s="38">
        <f ca="1">2.79286558090387*OFFSET(L$113,MATCH($N$1,$C$113:$C$114,0)-1,0)</f>
        <v>2.7928655809038698</v>
      </c>
      <c r="M25" s="38">
        <f ca="1">2.85645826286019*OFFSET(M$113,MATCH($N$1,$C$113:$C$114,0)-1,0)</f>
        <v>2.85645826286019</v>
      </c>
      <c r="N25" s="38">
        <v>2.3175195337845751</v>
      </c>
      <c r="O25" s="29">
        <f t="shared" ca="1" si="0"/>
        <v>0.17467756327100975</v>
      </c>
      <c r="P25" s="29">
        <f t="shared" ca="1" si="1"/>
        <v>-4.121303424428719E-2</v>
      </c>
    </row>
    <row r="26" spans="1:16" ht="18" customHeight="1">
      <c r="A26" s="189"/>
      <c r="B26" s="37" t="s">
        <v>207</v>
      </c>
      <c r="C26" s="33"/>
      <c r="D26" s="33">
        <f ca="1">68.87*OFFSET(D$113,MATCH($N$1,$C$113:$C$114,0)-1,0)</f>
        <v>68.87</v>
      </c>
      <c r="E26" s="33">
        <f ca="1">87.41*OFFSET(E$113,MATCH($N$1,$C$113:$C$114,0)-1,0)</f>
        <v>87.41</v>
      </c>
      <c r="F26" s="33">
        <f ca="1">82.52*OFFSET(F$113,MATCH($N$1,$C$113:$C$114,0)-1,0)</f>
        <v>82.52</v>
      </c>
      <c r="G26" s="33">
        <f ca="1">111.85*OFFSET(G$113,MATCH($N$1,$C$113:$C$114,0)-1,0)</f>
        <v>111.85</v>
      </c>
      <c r="H26" s="33">
        <f ca="1">172.8*OFFSET(H$113,MATCH($N$1,$C$113:$C$114,0)-1,0)</f>
        <v>172.8</v>
      </c>
      <c r="I26" s="33">
        <f ca="1">108.77*OFFSET(I$113,MATCH($N$1,$C$113:$C$114,0)-1,0)</f>
        <v>108.77</v>
      </c>
      <c r="J26" s="33">
        <f ca="1">125.17*OFFSET(J$113,MATCH($N$1,$C$113:$C$114,0)-1,0)</f>
        <v>125.17</v>
      </c>
      <c r="K26" s="33">
        <f ca="1">64.26*OFFSET(K$113,MATCH($N$1,$C$113:$C$114,0)-1,0)</f>
        <v>64.260000000000005</v>
      </c>
      <c r="L26" s="33">
        <f ca="1">105.43*OFFSET(L$113,MATCH($N$1,$C$113:$C$114,0)-1,0)</f>
        <v>105.43</v>
      </c>
      <c r="M26" s="33">
        <f ca="1">94.04*OFFSET(M$113,MATCH($N$1,$C$113:$C$114,0)-1,0)</f>
        <v>94.04</v>
      </c>
      <c r="N26" s="33">
        <v>108.18</v>
      </c>
      <c r="O26" s="29">
        <f t="shared" ca="1" si="0"/>
        <v>0.57078553797008857</v>
      </c>
      <c r="P26" s="29">
        <f t="shared" ca="1" si="1"/>
        <v>-0.13573539985619554</v>
      </c>
    </row>
    <row r="27" spans="1:16" ht="18" customHeight="1">
      <c r="A27" s="190"/>
      <c r="B27" s="37" t="s">
        <v>208</v>
      </c>
      <c r="C27" s="33"/>
      <c r="D27" s="33">
        <f ca="1">9.89*OFFSET(D$113,MATCH($N$1,$C$113:$C$114,0)-1,0)</f>
        <v>9.89</v>
      </c>
      <c r="E27" s="33">
        <f ca="1">5.6*OFFSET(E$113,MATCH($N$1,$C$113:$C$114,0)-1,0)</f>
        <v>5.6</v>
      </c>
      <c r="F27" s="33">
        <f ca="1">4.5*OFFSET(F$113,MATCH($N$1,$C$113:$C$114,0)-1,0)</f>
        <v>4.5</v>
      </c>
      <c r="G27" s="33">
        <f ca="1">16.26*OFFSET(G$113,MATCH($N$1,$C$113:$C$114,0)-1,0)</f>
        <v>16.260000000000002</v>
      </c>
      <c r="H27" s="33">
        <f ca="1">41.6*OFFSET(H$113,MATCH($N$1,$C$113:$C$114,0)-1,0)</f>
        <v>41.6</v>
      </c>
      <c r="I27" s="33">
        <f ca="1">25.01*OFFSET(I$113,MATCH($N$1,$C$113:$C$114,0)-1,0)</f>
        <v>25.01</v>
      </c>
      <c r="J27" s="33">
        <f ca="1">19.41*OFFSET(J$113,MATCH($N$1,$C$113:$C$114,0)-1,0)</f>
        <v>19.41</v>
      </c>
      <c r="K27" s="33">
        <f ca="1">15.24*OFFSET(K$113,MATCH($N$1,$C$113:$C$114,0)-1,0)</f>
        <v>15.24</v>
      </c>
      <c r="L27" s="33">
        <f ca="1">21.8*OFFSET(L$113,MATCH($N$1,$C$113:$C$114,0)-1,0)</f>
        <v>21.8</v>
      </c>
      <c r="M27" s="33">
        <f ca="1">18*OFFSET(M$113,MATCH($N$1,$C$113:$C$114,0)-1,0)</f>
        <v>18</v>
      </c>
      <c r="N27" s="33">
        <v>14.8</v>
      </c>
      <c r="O27" s="34">
        <f t="shared" ca="1" si="0"/>
        <v>0.49646107178968651</v>
      </c>
      <c r="P27" s="34">
        <f t="shared" ca="1" si="1"/>
        <v>-0.23750643997939203</v>
      </c>
    </row>
    <row r="28" spans="1:16" s="78" customFormat="1" ht="18" customHeight="1">
      <c r="A28" s="191" t="s">
        <v>209</v>
      </c>
      <c r="B28" s="82" t="s">
        <v>200</v>
      </c>
      <c r="C28" s="83"/>
      <c r="D28" s="83">
        <f ca="1">729.7*OFFSET(D$113,MATCH($N$1,$C$113:$C$114,0)-1,0)</f>
        <v>729.7</v>
      </c>
      <c r="E28" s="83">
        <f ca="1">724.1*OFFSET(E$113,MATCH($N$1,$C$113:$C$114,0)-1,0)</f>
        <v>724.1</v>
      </c>
      <c r="F28" s="83">
        <f ca="1">704.5*OFFSET(F$113,MATCH($N$1,$C$113:$C$114,0)-1,0)</f>
        <v>704.5</v>
      </c>
      <c r="G28" s="83">
        <f ca="1">643.1*OFFSET(G$113,MATCH($N$1,$C$113:$C$114,0)-1,0)</f>
        <v>643.1</v>
      </c>
      <c r="H28" s="83">
        <f ca="1">766.7*OFFSET(H$113,MATCH($N$1,$C$113:$C$114,0)-1,0)</f>
        <v>766.7</v>
      </c>
      <c r="I28" s="83">
        <f ca="1">854.4*OFFSET(I$113,MATCH($N$1,$C$113:$C$114,0)-1,0)</f>
        <v>854.4</v>
      </c>
      <c r="J28" s="83">
        <f ca="1">748.1*OFFSET(J$113,MATCH($N$1,$C$113:$C$114,0)-1,0)</f>
        <v>748.1</v>
      </c>
      <c r="K28" s="83">
        <f ca="1">780.8*OFFSET(K$113,MATCH($N$1,$C$113:$C$114,0)-1,0)</f>
        <v>780.8</v>
      </c>
      <c r="L28" s="83">
        <f ca="1">595.9*OFFSET(L$113,MATCH($N$1,$C$113:$C$114,0)-1,0)</f>
        <v>595.9</v>
      </c>
      <c r="M28" s="83">
        <f ca="1">705.2*OFFSET(M$113,MATCH($N$1,$C$113:$C$114,0)-1,0)</f>
        <v>705.2</v>
      </c>
      <c r="N28" s="83">
        <v>806.80000000000007</v>
      </c>
      <c r="O28" s="84">
        <f t="shared" ca="1" si="0"/>
        <v>0.10565986021652736</v>
      </c>
      <c r="P28" s="84">
        <f t="shared" ca="1" si="1"/>
        <v>7.8465445796016636E-2</v>
      </c>
    </row>
    <row r="29" spans="1:16" s="78" customFormat="1" ht="18" customHeight="1">
      <c r="A29" s="192"/>
      <c r="B29" s="85" t="s">
        <v>210</v>
      </c>
      <c r="C29" s="86"/>
      <c r="D29" s="86">
        <f ca="1">31.5*OFFSET(D$113,MATCH($N$1,$C$113:$C$114,0)-1,0)</f>
        <v>31.5</v>
      </c>
      <c r="E29" s="86">
        <f ca="1">4.1*OFFSET(E$113,MATCH($N$1,$C$113:$C$114,0)-1,0)</f>
        <v>4.0999999999999996</v>
      </c>
      <c r="F29" s="86">
        <f ca="1">24*OFFSET(F$113,MATCH($N$1,$C$113:$C$114,0)-1,0)</f>
        <v>24</v>
      </c>
      <c r="G29" s="86">
        <f ca="1">38.5*OFFSET(G$113,MATCH($N$1,$C$113:$C$114,0)-1,0)</f>
        <v>38.5</v>
      </c>
      <c r="H29" s="86"/>
      <c r="I29" s="86"/>
      <c r="J29" s="86">
        <f ca="1">9.7*OFFSET(J$113,MATCH($N$1,$C$113:$C$114,0)-1,0)</f>
        <v>9.6999999999999993</v>
      </c>
      <c r="K29" s="86">
        <f ca="1">3.7*OFFSET(K$113,MATCH($N$1,$C$113:$C$114,0)-1,0)</f>
        <v>3.7</v>
      </c>
      <c r="L29" s="86">
        <f ca="1">12.1*OFFSET(L$113,MATCH($N$1,$C$113:$C$114,0)-1,0)</f>
        <v>12.1</v>
      </c>
      <c r="M29" s="86">
        <f ca="1">3.5*OFFSET(M$113,MATCH($N$1,$C$113:$C$114,0)-1,0)</f>
        <v>3.5</v>
      </c>
      <c r="N29" s="86"/>
      <c r="O29" s="84" t="str">
        <f t="shared" si="0"/>
        <v/>
      </c>
      <c r="P29" s="84" t="str">
        <f t="shared" si="1"/>
        <v/>
      </c>
    </row>
    <row r="30" spans="1:16" s="78" customFormat="1" ht="18" customHeight="1">
      <c r="A30" s="192"/>
      <c r="B30" s="87" t="s">
        <v>211</v>
      </c>
      <c r="C30" s="88"/>
      <c r="D30" s="88">
        <f ca="1">761.1*OFFSET(D$113,MATCH($N$1,$C$113:$C$114,0)-1,0)</f>
        <v>761.1</v>
      </c>
      <c r="E30" s="88">
        <f ca="1">728.2*OFFSET(E$113,MATCH($N$1,$C$113:$C$114,0)-1,0)</f>
        <v>728.2</v>
      </c>
      <c r="F30" s="88">
        <f ca="1">728.6*OFFSET(F$113,MATCH($N$1,$C$113:$C$114,0)-1,0)</f>
        <v>728.6</v>
      </c>
      <c r="G30" s="88">
        <f ca="1">681.6*OFFSET(G$113,MATCH($N$1,$C$113:$C$114,0)-1,0)</f>
        <v>681.6</v>
      </c>
      <c r="H30" s="88">
        <f ca="1">766.7*OFFSET(H$113,MATCH($N$1,$C$113:$C$114,0)-1,0)</f>
        <v>766.7</v>
      </c>
      <c r="I30" s="88">
        <f ca="1">854.4*OFFSET(I$113,MATCH($N$1,$C$113:$C$114,0)-1,0)</f>
        <v>854.4</v>
      </c>
      <c r="J30" s="88">
        <f ca="1">757.8*OFFSET(J$113,MATCH($N$1,$C$113:$C$114,0)-1,0)</f>
        <v>757.8</v>
      </c>
      <c r="K30" s="88">
        <f ca="1">784.5*OFFSET(K$113,MATCH($N$1,$C$113:$C$114,0)-1,0)</f>
        <v>784.5</v>
      </c>
      <c r="L30" s="88">
        <f ca="1">608*OFFSET(L$113,MATCH($N$1,$C$113:$C$114,0)-1,0)</f>
        <v>608</v>
      </c>
      <c r="M30" s="88">
        <f ca="1">708.8*OFFSET(M$113,MATCH($N$1,$C$113:$C$114,0)-1,0)</f>
        <v>708.8</v>
      </c>
      <c r="N30" s="88">
        <v>806.80000000000007</v>
      </c>
      <c r="O30" s="84">
        <f t="shared" ca="1" si="0"/>
        <v>6.0044672184995457E-2</v>
      </c>
      <c r="P30" s="84">
        <f t="shared" ca="1" si="1"/>
        <v>6.4660860385326091E-2</v>
      </c>
    </row>
    <row r="31" spans="1:16" s="78" customFormat="1" ht="18" customHeight="1">
      <c r="A31" s="192"/>
      <c r="B31" s="85" t="s">
        <v>212</v>
      </c>
      <c r="C31" s="86"/>
      <c r="D31" s="86">
        <f ca="1">191.1*OFFSET(D$113,MATCH($N$1,$C$113:$C$114,0)-1,0)</f>
        <v>191.1</v>
      </c>
      <c r="E31" s="86">
        <f ca="1">189.8*OFFSET(E$113,MATCH($N$1,$C$113:$C$114,0)-1,0)</f>
        <v>189.8</v>
      </c>
      <c r="F31" s="86">
        <f ca="1">169.8*OFFSET(F$113,MATCH($N$1,$C$113:$C$114,0)-1,0)</f>
        <v>169.8</v>
      </c>
      <c r="G31" s="86">
        <f ca="1">107.4*OFFSET(G$113,MATCH($N$1,$C$113:$C$114,0)-1,0)</f>
        <v>107.4</v>
      </c>
      <c r="H31" s="86">
        <f ca="1">104.8*OFFSET(H$113,MATCH($N$1,$C$113:$C$114,0)-1,0)</f>
        <v>104.8</v>
      </c>
      <c r="I31" s="86">
        <f ca="1">127.4*OFFSET(I$113,MATCH($N$1,$C$113:$C$114,0)-1,0)</f>
        <v>127.4</v>
      </c>
      <c r="J31" s="86">
        <f ca="1">137.7*OFFSET(J$113,MATCH($N$1,$C$113:$C$114,0)-1,0)</f>
        <v>137.69999999999999</v>
      </c>
      <c r="K31" s="86">
        <f ca="1">138.5*OFFSET(K$113,MATCH($N$1,$C$113:$C$114,0)-1,0)</f>
        <v>138.5</v>
      </c>
      <c r="L31" s="86">
        <f ca="1">86.8*OFFSET(L$113,MATCH($N$1,$C$113:$C$114,0)-1,0)</f>
        <v>86.8</v>
      </c>
      <c r="M31" s="86">
        <f ca="1">117.7*OFFSET(M$113,MATCH($N$1,$C$113:$C$114,0)-1,0)</f>
        <v>117.7</v>
      </c>
      <c r="N31" s="86">
        <v>203.5</v>
      </c>
      <c r="O31" s="84">
        <f t="shared" ca="1" si="0"/>
        <v>6.4887493458922058E-2</v>
      </c>
      <c r="P31" s="84">
        <f t="shared" ca="1" si="1"/>
        <v>0.47785039941902702</v>
      </c>
    </row>
    <row r="32" spans="1:16" s="78" customFormat="1" ht="18" customHeight="1">
      <c r="A32" s="192"/>
      <c r="B32" s="85" t="s">
        <v>213</v>
      </c>
      <c r="C32" s="86"/>
      <c r="D32" s="86">
        <f ca="1">183.5*OFFSET(D$113,MATCH($N$1,$C$113:$C$114,0)-1,0)</f>
        <v>183.5</v>
      </c>
      <c r="E32" s="86">
        <f ca="1">177.4*OFFSET(E$113,MATCH($N$1,$C$113:$C$114,0)-1,0)</f>
        <v>177.4</v>
      </c>
      <c r="F32" s="86">
        <f ca="1">189.4*OFFSET(F$113,MATCH($N$1,$C$113:$C$114,0)-1,0)</f>
        <v>189.4</v>
      </c>
      <c r="G32" s="86">
        <f ca="1">189.1*OFFSET(G$113,MATCH($N$1,$C$113:$C$114,0)-1,0)</f>
        <v>189.1</v>
      </c>
      <c r="H32" s="86">
        <f ca="1">210.2*OFFSET(H$113,MATCH($N$1,$C$113:$C$114,0)-1,0)</f>
        <v>210.2</v>
      </c>
      <c r="I32" s="86">
        <f ca="1">228.9*OFFSET(I$113,MATCH($N$1,$C$113:$C$114,0)-1,0)</f>
        <v>228.9</v>
      </c>
      <c r="J32" s="86">
        <f ca="1">199.2*OFFSET(J$113,MATCH($N$1,$C$113:$C$114,0)-1,0)</f>
        <v>199.2</v>
      </c>
      <c r="K32" s="86">
        <f ca="1">208.5*OFFSET(K$113,MATCH($N$1,$C$113:$C$114,0)-1,0)</f>
        <v>208.5</v>
      </c>
      <c r="L32" s="86">
        <f ca="1">159.5*OFFSET(L$113,MATCH($N$1,$C$113:$C$114,0)-1,0)</f>
        <v>159.5</v>
      </c>
      <c r="M32" s="86">
        <f ca="1">186.3*OFFSET(M$113,MATCH($N$1,$C$113:$C$114,0)-1,0)</f>
        <v>186.3</v>
      </c>
      <c r="N32" s="86">
        <v>184.20000000000002</v>
      </c>
      <c r="O32" s="84">
        <f t="shared" ca="1" si="0"/>
        <v>3.8147138964578584E-3</v>
      </c>
      <c r="P32" s="84">
        <f t="shared" ca="1" si="1"/>
        <v>-7.5301204819276976E-2</v>
      </c>
    </row>
    <row r="33" spans="1:16" s="78" customFormat="1" ht="18" customHeight="1">
      <c r="A33" s="192"/>
      <c r="B33" s="85" t="s">
        <v>214</v>
      </c>
      <c r="C33" s="86"/>
      <c r="D33" s="86">
        <f ca="1">141.5*OFFSET(D$113,MATCH($N$1,$C$113:$C$114,0)-1,0)</f>
        <v>141.5</v>
      </c>
      <c r="E33" s="86">
        <f ca="1">186*OFFSET(E$113,MATCH($N$1,$C$113:$C$114,0)-1,0)</f>
        <v>186</v>
      </c>
      <c r="F33" s="86">
        <f ca="1">202*OFFSET(F$113,MATCH($N$1,$C$113:$C$114,0)-1,0)</f>
        <v>202</v>
      </c>
      <c r="G33" s="86">
        <f ca="1">173.8*OFFSET(G$113,MATCH($N$1,$C$113:$C$114,0)-1,0)</f>
        <v>173.8</v>
      </c>
      <c r="H33" s="86">
        <f ca="1">116.6*OFFSET(H$113,MATCH($N$1,$C$113:$C$114,0)-1,0)</f>
        <v>116.6</v>
      </c>
      <c r="I33" s="86">
        <f ca="1">147.9*OFFSET(I$113,MATCH($N$1,$C$113:$C$114,0)-1,0)</f>
        <v>147.9</v>
      </c>
      <c r="J33" s="86">
        <f ca="1">145.6*OFFSET(J$113,MATCH($N$1,$C$113:$C$114,0)-1,0)</f>
        <v>145.6</v>
      </c>
      <c r="K33" s="86">
        <f ca="1">125*OFFSET(K$113,MATCH($N$1,$C$113:$C$114,0)-1,0)</f>
        <v>125</v>
      </c>
      <c r="L33" s="86">
        <f ca="1">150.9*OFFSET(L$113,MATCH($N$1,$C$113:$C$114,0)-1,0)</f>
        <v>150.9</v>
      </c>
      <c r="M33" s="86">
        <f ca="1">143.6*OFFSET(M$113,MATCH($N$1,$C$113:$C$114,0)-1,0)</f>
        <v>143.6</v>
      </c>
      <c r="N33" s="86">
        <v>164.3</v>
      </c>
      <c r="O33" s="84">
        <f t="shared" ca="1" si="0"/>
        <v>0.16113074204947003</v>
      </c>
      <c r="P33" s="84">
        <f t="shared" ca="1" si="1"/>
        <v>0.12843406593406606</v>
      </c>
    </row>
    <row r="34" spans="1:16" s="78" customFormat="1" ht="18" customHeight="1">
      <c r="A34" s="192"/>
      <c r="B34" s="85" t="s">
        <v>215</v>
      </c>
      <c r="C34" s="86"/>
      <c r="D34" s="86">
        <f ca="1">516.1*OFFSET(D$113,MATCH($N$1,$C$113:$C$114,0)-1,0)</f>
        <v>516.1</v>
      </c>
      <c r="E34" s="86">
        <f ca="1">553.3*OFFSET(E$113,MATCH($N$1,$C$113:$C$114,0)-1,0)</f>
        <v>553.29999999999995</v>
      </c>
      <c r="F34" s="86">
        <f ca="1">561.2*OFFSET(F$113,MATCH($N$1,$C$113:$C$114,0)-1,0)</f>
        <v>561.20000000000005</v>
      </c>
      <c r="G34" s="86">
        <f ca="1">470.3*OFFSET(G$113,MATCH($N$1,$C$113:$C$114,0)-1,0)</f>
        <v>470.3</v>
      </c>
      <c r="H34" s="86">
        <f ca="1">431.7*OFFSET(H$113,MATCH($N$1,$C$113:$C$114,0)-1,0)</f>
        <v>431.7</v>
      </c>
      <c r="I34" s="86">
        <f ca="1">504.2*OFFSET(I$113,MATCH($N$1,$C$113:$C$114,0)-1,0)</f>
        <v>504.2</v>
      </c>
      <c r="J34" s="86">
        <f ca="1">482.5*OFFSET(J$113,MATCH($N$1,$C$113:$C$114,0)-1,0)</f>
        <v>482.5</v>
      </c>
      <c r="K34" s="86">
        <f ca="1">472*OFFSET(K$113,MATCH($N$1,$C$113:$C$114,0)-1,0)</f>
        <v>472</v>
      </c>
      <c r="L34" s="86">
        <f ca="1">397.2*OFFSET(L$113,MATCH($N$1,$C$113:$C$114,0)-1,0)</f>
        <v>397.2</v>
      </c>
      <c r="M34" s="86">
        <f ca="1">447.6*OFFSET(M$113,MATCH($N$1,$C$113:$C$114,0)-1,0)</f>
        <v>447.6</v>
      </c>
      <c r="N34" s="86">
        <v>552</v>
      </c>
      <c r="O34" s="84">
        <f t="shared" ca="1" si="0"/>
        <v>6.956016275915515E-2</v>
      </c>
      <c r="P34" s="84">
        <f t="shared" ca="1" si="1"/>
        <v>0.14404145077720207</v>
      </c>
    </row>
    <row r="35" spans="1:16" s="78" customFormat="1" ht="18" customHeight="1">
      <c r="A35" s="192"/>
      <c r="B35" s="85" t="s">
        <v>216</v>
      </c>
      <c r="C35" s="86"/>
      <c r="D35" s="86">
        <f ca="1">140.2*OFFSET(D$113,MATCH($N$1,$C$113:$C$114,0)-1,0)</f>
        <v>140.19999999999999</v>
      </c>
      <c r="E35" s="86">
        <f ca="1">128.6*OFFSET(E$113,MATCH($N$1,$C$113:$C$114,0)-1,0)</f>
        <v>128.6</v>
      </c>
      <c r="F35" s="86">
        <f ca="1">129*OFFSET(F$113,MATCH($N$1,$C$113:$C$114,0)-1,0)</f>
        <v>129</v>
      </c>
      <c r="G35" s="86">
        <f ca="1">117.9*OFFSET(G$113,MATCH($N$1,$C$113:$C$114,0)-1,0)</f>
        <v>117.9</v>
      </c>
      <c r="H35" s="86">
        <f ca="1">150.5*OFFSET(H$113,MATCH($N$1,$C$113:$C$114,0)-1,0)</f>
        <v>150.5</v>
      </c>
      <c r="I35" s="86">
        <f ca="1">153.7*OFFSET(I$113,MATCH($N$1,$C$113:$C$114,0)-1,0)</f>
        <v>153.69999999999999</v>
      </c>
      <c r="J35" s="86">
        <f ca="1">159.3*OFFSET(J$113,MATCH($N$1,$C$113:$C$114,0)-1,0)</f>
        <v>159.30000000000001</v>
      </c>
      <c r="K35" s="86">
        <f ca="1">127.2*OFFSET(K$113,MATCH($N$1,$C$113:$C$114,0)-1,0)</f>
        <v>127.2</v>
      </c>
      <c r="L35" s="86">
        <f ca="1">87.6*OFFSET(L$113,MATCH($N$1,$C$113:$C$114,0)-1,0)</f>
        <v>87.6</v>
      </c>
      <c r="M35" s="86">
        <f ca="1">126.2*OFFSET(M$113,MATCH($N$1,$C$113:$C$114,0)-1,0)</f>
        <v>126.2</v>
      </c>
      <c r="N35" s="86">
        <v>144.30000000000001</v>
      </c>
      <c r="O35" s="84">
        <f t="shared" ca="1" si="0"/>
        <v>2.9243937232525129E-2</v>
      </c>
      <c r="P35" s="84">
        <f t="shared" ca="1" si="1"/>
        <v>-9.4161958568738227E-2</v>
      </c>
    </row>
    <row r="36" spans="1:16" s="78" customFormat="1" ht="18" customHeight="1">
      <c r="A36" s="192"/>
      <c r="B36" s="85" t="s">
        <v>217</v>
      </c>
      <c r="C36" s="86"/>
      <c r="D36" s="86">
        <f ca="1">656.3*OFFSET(D$113,MATCH($N$1,$C$113:$C$114,0)-1,0)</f>
        <v>656.3</v>
      </c>
      <c r="E36" s="86">
        <f ca="1">681.9*OFFSET(E$113,MATCH($N$1,$C$113:$C$114,0)-1,0)</f>
        <v>681.9</v>
      </c>
      <c r="F36" s="86">
        <f ca="1">690.2*OFFSET(F$113,MATCH($N$1,$C$113:$C$114,0)-1,0)</f>
        <v>690.2</v>
      </c>
      <c r="G36" s="86">
        <f ca="1">588.1*OFFSET(G$113,MATCH($N$1,$C$113:$C$114,0)-1,0)</f>
        <v>588.1</v>
      </c>
      <c r="H36" s="86">
        <f ca="1">582.1*OFFSET(H$113,MATCH($N$1,$C$113:$C$114,0)-1,0)</f>
        <v>582.1</v>
      </c>
      <c r="I36" s="86">
        <f ca="1">657.9*OFFSET(I$113,MATCH($N$1,$C$113:$C$114,0)-1,0)</f>
        <v>657.9</v>
      </c>
      <c r="J36" s="86">
        <f ca="1">641.8*OFFSET(J$113,MATCH($N$1,$C$113:$C$114,0)-1,0)</f>
        <v>641.79999999999995</v>
      </c>
      <c r="K36" s="86">
        <f ca="1">599.2*OFFSET(K$113,MATCH($N$1,$C$113:$C$114,0)-1,0)</f>
        <v>599.20000000000005</v>
      </c>
      <c r="L36" s="86">
        <f ca="1">484.8*OFFSET(L$113,MATCH($N$1,$C$113:$C$114,0)-1,0)</f>
        <v>484.8</v>
      </c>
      <c r="M36" s="86">
        <f ca="1">573.8*OFFSET(M$113,MATCH($N$1,$C$113:$C$114,0)-1,0)</f>
        <v>573.79999999999995</v>
      </c>
      <c r="N36" s="86">
        <v>696.30000000000007</v>
      </c>
      <c r="O36" s="84">
        <f t="shared" ca="1" si="0"/>
        <v>6.0947737315252347E-2</v>
      </c>
      <c r="P36" s="84">
        <f t="shared" ca="1" si="1"/>
        <v>8.4917419756933801E-2</v>
      </c>
    </row>
    <row r="37" spans="1:16" s="78" customFormat="1" ht="18" customHeight="1">
      <c r="A37" s="192"/>
      <c r="B37" s="87" t="s">
        <v>218</v>
      </c>
      <c r="C37" s="88"/>
      <c r="D37" s="88">
        <f ca="1">288.3*OFFSET(D$113,MATCH($N$1,$C$113:$C$114,0)-1,0)</f>
        <v>288.3</v>
      </c>
      <c r="E37" s="88">
        <f ca="1">223.8*OFFSET(E$113,MATCH($N$1,$C$113:$C$114,0)-1,0)</f>
        <v>223.8</v>
      </c>
      <c r="F37" s="88">
        <f ca="1">227.8*OFFSET(F$113,MATCH($N$1,$C$113:$C$114,0)-1,0)</f>
        <v>227.8</v>
      </c>
      <c r="G37" s="88">
        <f ca="1">282.6*OFFSET(G$113,MATCH($N$1,$C$113:$C$114,0)-1,0)</f>
        <v>282.60000000000002</v>
      </c>
      <c r="H37" s="88">
        <f ca="1">394.8*OFFSET(H$113,MATCH($N$1,$C$113:$C$114,0)-1,0)</f>
        <v>394.8</v>
      </c>
      <c r="I37" s="88">
        <f ca="1">425.4*OFFSET(I$113,MATCH($N$1,$C$113:$C$114,0)-1,0)</f>
        <v>425.4</v>
      </c>
      <c r="J37" s="88">
        <f ca="1">315.2*OFFSET(J$113,MATCH($N$1,$C$113:$C$114,0)-1,0)</f>
        <v>315.2</v>
      </c>
      <c r="K37" s="88">
        <f ca="1">393.7*OFFSET(K$113,MATCH($N$1,$C$113:$C$114,0)-1,0)</f>
        <v>393.7</v>
      </c>
      <c r="L37" s="88">
        <f ca="1">282.7*OFFSET(L$113,MATCH($N$1,$C$113:$C$114,0)-1,0)</f>
        <v>282.7</v>
      </c>
      <c r="M37" s="88">
        <f ca="1">321.3*OFFSET(M$113,MATCH($N$1,$C$113:$C$114,0)-1,0)</f>
        <v>321.3</v>
      </c>
      <c r="N37" s="88">
        <v>294.60000000000002</v>
      </c>
      <c r="O37" s="84">
        <f t="shared" ca="1" si="0"/>
        <v>2.1852237252861641E-2</v>
      </c>
      <c r="P37" s="84">
        <f t="shared" ca="1" si="1"/>
        <v>-6.5355329949238469E-2</v>
      </c>
    </row>
    <row r="38" spans="1:16" s="78" customFormat="1" ht="18" customHeight="1">
      <c r="A38" s="192"/>
      <c r="B38" s="87" t="s">
        <v>219</v>
      </c>
      <c r="C38" s="88"/>
      <c r="D38" s="88">
        <f ca="1">104.8*OFFSET(D$113,MATCH($N$1,$C$113:$C$114,0)-1,0)</f>
        <v>104.8</v>
      </c>
      <c r="E38" s="88">
        <f ca="1">46.4*OFFSET(E$113,MATCH($N$1,$C$113:$C$114,0)-1,0)</f>
        <v>46.4</v>
      </c>
      <c r="F38" s="88">
        <f ca="1">38.4*OFFSET(F$113,MATCH($N$1,$C$113:$C$114,0)-1,0)</f>
        <v>38.4</v>
      </c>
      <c r="G38" s="88">
        <f ca="1">93.5*OFFSET(G$113,MATCH($N$1,$C$113:$C$114,0)-1,0)</f>
        <v>93.5</v>
      </c>
      <c r="H38" s="88">
        <f ca="1">184.6*OFFSET(H$113,MATCH($N$1,$C$113:$C$114,0)-1,0)</f>
        <v>184.6</v>
      </c>
      <c r="I38" s="88">
        <f ca="1">196.5*OFFSET(I$113,MATCH($N$1,$C$113:$C$114,0)-1,0)</f>
        <v>196.5</v>
      </c>
      <c r="J38" s="88">
        <f ca="1">116*OFFSET(J$113,MATCH($N$1,$C$113:$C$114,0)-1,0)</f>
        <v>116</v>
      </c>
      <c r="K38" s="88">
        <f ca="1">185.2*OFFSET(K$113,MATCH($N$1,$C$113:$C$114,0)-1,0)</f>
        <v>185.2</v>
      </c>
      <c r="L38" s="88">
        <f ca="1">123.2*OFFSET(L$113,MATCH($N$1,$C$113:$C$114,0)-1,0)</f>
        <v>123.2</v>
      </c>
      <c r="M38" s="88">
        <f ca="1">135*OFFSET(M$113,MATCH($N$1,$C$113:$C$114,0)-1,0)</f>
        <v>135</v>
      </c>
      <c r="N38" s="88">
        <v>110.4</v>
      </c>
      <c r="O38" s="84">
        <f t="shared" ca="1" si="0"/>
        <v>5.3435114503816876E-2</v>
      </c>
      <c r="P38" s="84">
        <f t="shared" ca="1" si="1"/>
        <v>-4.8275862068965468E-2</v>
      </c>
    </row>
    <row r="39" spans="1:16" s="78" customFormat="1" ht="18" customHeight="1">
      <c r="A39" s="192"/>
      <c r="B39" s="85" t="s">
        <v>220</v>
      </c>
      <c r="C39" s="86"/>
      <c r="D39" s="86">
        <f ca="1">12.3*OFFSET(D$113,MATCH($N$1,$C$113:$C$114,0)-1,0)</f>
        <v>12.3</v>
      </c>
      <c r="E39" s="86">
        <f ca="1">12.9*OFFSET(E$113,MATCH($N$1,$C$113:$C$114,0)-1,0)</f>
        <v>12.9</v>
      </c>
      <c r="F39" s="86">
        <f ca="1">14*OFFSET(F$113,MATCH($N$1,$C$113:$C$114,0)-1,0)</f>
        <v>14</v>
      </c>
      <c r="G39" s="86">
        <f ca="1">21.3*OFFSET(G$113,MATCH($N$1,$C$113:$C$114,0)-1,0)</f>
        <v>21.3</v>
      </c>
      <c r="H39" s="86">
        <f ca="1">27.5*OFFSET(H$113,MATCH($N$1,$C$113:$C$114,0)-1,0)</f>
        <v>27.5</v>
      </c>
      <c r="I39" s="86">
        <f ca="1">27.4*OFFSET(I$113,MATCH($N$1,$C$113:$C$114,0)-1,0)</f>
        <v>27.4</v>
      </c>
      <c r="J39" s="86">
        <f ca="1">28.2*OFFSET(J$113,MATCH($N$1,$C$113:$C$114,0)-1,0)</f>
        <v>28.2</v>
      </c>
      <c r="K39" s="86">
        <f ca="1">22.8*OFFSET(K$113,MATCH($N$1,$C$113:$C$114,0)-1,0)</f>
        <v>22.8</v>
      </c>
      <c r="L39" s="86">
        <f ca="1">20.2*OFFSET(L$113,MATCH($N$1,$C$113:$C$114,0)-1,0)</f>
        <v>20.2</v>
      </c>
      <c r="M39" s="86">
        <f ca="1">22.6*OFFSET(M$113,MATCH($N$1,$C$113:$C$114,0)-1,0)</f>
        <v>22.6</v>
      </c>
      <c r="N39" s="86"/>
      <c r="O39" s="84" t="str">
        <f t="shared" si="0"/>
        <v/>
      </c>
      <c r="P39" s="84" t="str">
        <f t="shared" si="1"/>
        <v/>
      </c>
    </row>
    <row r="40" spans="1:16" s="78" customFormat="1" ht="18" customHeight="1">
      <c r="A40" s="192"/>
      <c r="B40" s="85" t="s">
        <v>221</v>
      </c>
      <c r="C40" s="86"/>
      <c r="D40" s="86">
        <f ca="1">7.9*OFFSET(D$113,MATCH($N$1,$C$113:$C$114,0)-1,0)</f>
        <v>7.9</v>
      </c>
      <c r="E40" s="86">
        <f ca="1">12.7*OFFSET(E$113,MATCH($N$1,$C$113:$C$114,0)-1,0)</f>
        <v>12.7</v>
      </c>
      <c r="F40" s="86">
        <f ca="1">8.6*OFFSET(F$113,MATCH($N$1,$C$113:$C$114,0)-1,0)</f>
        <v>8.6</v>
      </c>
      <c r="G40" s="86">
        <f ca="1">5.9*OFFSET(G$113,MATCH($N$1,$C$113:$C$114,0)-1,0)</f>
        <v>5.9</v>
      </c>
      <c r="H40" s="86"/>
      <c r="I40" s="86">
        <f ca="1">1.1*OFFSET(I$113,MATCH($N$1,$C$113:$C$114,0)-1,0)</f>
        <v>1.1000000000000001</v>
      </c>
      <c r="J40" s="86">
        <f ca="1">5*OFFSET(J$113,MATCH($N$1,$C$113:$C$114,0)-1,0)</f>
        <v>5</v>
      </c>
      <c r="K40" s="86">
        <f ca="1">4*OFFSET(K$113,MATCH($N$1,$C$113:$C$114,0)-1,0)</f>
        <v>4</v>
      </c>
      <c r="L40" s="86"/>
      <c r="M40" s="86"/>
      <c r="N40" s="86"/>
      <c r="O40" s="84" t="str">
        <f t="shared" si="0"/>
        <v/>
      </c>
      <c r="P40" s="84" t="str">
        <f t="shared" si="1"/>
        <v/>
      </c>
    </row>
    <row r="41" spans="1:16" s="78" customFormat="1" ht="18" customHeight="1">
      <c r="A41" s="192"/>
      <c r="B41" s="85" t="s">
        <v>222</v>
      </c>
      <c r="C41" s="86"/>
      <c r="D41" s="86">
        <f ca="1">3.1*OFFSET(D$113,MATCH($N$1,$C$113:$C$114,0)-1,0)</f>
        <v>3.1</v>
      </c>
      <c r="E41" s="86">
        <f ca="1">2.1*OFFSET(E$113,MATCH($N$1,$C$113:$C$114,0)-1,0)</f>
        <v>2.1</v>
      </c>
      <c r="F41" s="86">
        <f ca="1">2.3*OFFSET(F$113,MATCH($N$1,$C$113:$C$114,0)-1,0)</f>
        <v>2.2999999999999998</v>
      </c>
      <c r="G41" s="86">
        <f ca="1">0.1*OFFSET(G$113,MATCH($N$1,$C$113:$C$114,0)-1,0)</f>
        <v>0.1</v>
      </c>
      <c r="H41" s="86"/>
      <c r="I41" s="86"/>
      <c r="J41" s="86">
        <f ca="1">0.1*OFFSET(J$113,MATCH($N$1,$C$113:$C$114,0)-1,0)</f>
        <v>0.1</v>
      </c>
      <c r="K41" s="86">
        <f ca="1">0.6*OFFSET(K$113,MATCH($N$1,$C$113:$C$114,0)-1,0)</f>
        <v>0.6</v>
      </c>
      <c r="L41" s="86"/>
      <c r="M41" s="86"/>
      <c r="N41" s="86"/>
      <c r="O41" s="84" t="str">
        <f t="shared" si="0"/>
        <v/>
      </c>
      <c r="P41" s="84" t="str">
        <f t="shared" si="1"/>
        <v/>
      </c>
    </row>
    <row r="42" spans="1:16" s="78" customFormat="1" ht="18" customHeight="1" thickBot="1">
      <c r="A42" s="193"/>
      <c r="B42" s="89" t="s">
        <v>223</v>
      </c>
      <c r="C42" s="90"/>
      <c r="D42" s="90">
        <f ca="1">81.5*OFFSET(D$113,MATCH($N$1,$C$113:$C$114,0)-1,0)</f>
        <v>81.5</v>
      </c>
      <c r="E42" s="90">
        <f ca="1">18.7*OFFSET(E$113,MATCH($N$1,$C$113:$C$114,0)-1,0)</f>
        <v>18.7</v>
      </c>
      <c r="F42" s="90">
        <f ca="1">13.4*OFFSET(F$113,MATCH($N$1,$C$113:$C$114,0)-1,0)</f>
        <v>13.4</v>
      </c>
      <c r="G42" s="90">
        <f ca="1">66.1*OFFSET(G$113,MATCH($N$1,$C$113:$C$114,0)-1,0)</f>
        <v>66.099999999999994</v>
      </c>
      <c r="H42" s="90">
        <f ca="1">157*OFFSET(H$113,MATCH($N$1,$C$113:$C$114,0)-1,0)</f>
        <v>157</v>
      </c>
      <c r="I42" s="90">
        <f ca="1">167.9*OFFSET(I$113,MATCH($N$1,$C$113:$C$114,0)-1,0)</f>
        <v>167.9</v>
      </c>
      <c r="J42" s="90">
        <f ca="1">82.6*OFFSET(J$113,MATCH($N$1,$C$113:$C$114,0)-1,0)</f>
        <v>82.6</v>
      </c>
      <c r="K42" s="90">
        <f ca="1">157.9*OFFSET(K$113,MATCH($N$1,$C$113:$C$114,0)-1,0)</f>
        <v>157.9</v>
      </c>
      <c r="L42" s="90">
        <f ca="1">103*OFFSET(L$113,MATCH($N$1,$C$113:$C$114,0)-1,0)</f>
        <v>103</v>
      </c>
      <c r="M42" s="90">
        <f ca="1">112.4*OFFSET(M$113,MATCH($N$1,$C$113:$C$114,0)-1,0)</f>
        <v>112.4</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South West beamers under 250kW</v>
      </c>
      <c r="C49" s="101"/>
      <c r="D49" s="101"/>
      <c r="E49" s="101"/>
      <c r="F49" s="101"/>
      <c r="G49" s="101"/>
      <c r="K49" s="101" t="str">
        <f>$B25&amp;CHAR(10)&amp;$A$1</f>
        <v>Operating profit per kW day at sea (£)
South West beamers under 250kW</v>
      </c>
    </row>
    <row r="50" spans="1:11" s="78" customFormat="1">
      <c r="A50" s="101" t="str">
        <f>$B23&amp;CHAR(10)&amp;$A$1</f>
        <v>Fishing income per kW day at sea (£)
South West beamers under 250kW</v>
      </c>
    </row>
    <row r="51" spans="1:11" s="78" customFormat="1">
      <c r="A51" s="101" t="str">
        <f>$B21&amp;CHAR(10)&amp;$A$1</f>
        <v>Average price per tonne landed (£)
South West beamers under 250kW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South West beamers under 250kW</v>
      </c>
      <c r="F63" s="101" t="str">
        <f>$B21&amp;CHAR(10)&amp;$A$1</f>
        <v>Average price per tonne landed (£)
South West beamers under 250kW</v>
      </c>
      <c r="K63" s="101" t="str">
        <f>"Average annual operating profit per vessel (£'000)"&amp;CHAR(10)&amp;$A$1</f>
        <v>Average annual operating profit per vessel (£'000)
South West beamers under 250kW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South West beamers under 250kW</v>
      </c>
      <c r="F77" s="101" t="str">
        <f>"Top 5 landed species by value in "&amp;A78&amp;CHAR(10)&amp;A1</f>
        <v>Top 5 landed species by value in 2021
South West beamers under 250kW</v>
      </c>
    </row>
    <row r="78" spans="1:11" s="101" customFormat="1">
      <c r="A78" s="101">
        <v>2021</v>
      </c>
      <c r="B78" s="101" t="s">
        <v>547</v>
      </c>
      <c r="C78" s="102">
        <v>0.17995919947455774</v>
      </c>
      <c r="D78" s="103">
        <v>553960</v>
      </c>
      <c r="G78" s="101" t="s">
        <v>548</v>
      </c>
      <c r="H78" s="102">
        <v>0.37361966421912751</v>
      </c>
      <c r="I78" s="103">
        <v>12153634</v>
      </c>
      <c r="K78" s="101" t="s">
        <v>237</v>
      </c>
    </row>
    <row r="79" spans="1:11" s="101" customFormat="1">
      <c r="B79" s="101" t="s">
        <v>549</v>
      </c>
      <c r="C79" s="102">
        <v>0.14811099507384362</v>
      </c>
      <c r="D79" s="103">
        <v>3050596</v>
      </c>
      <c r="G79" s="101" t="s">
        <v>550</v>
      </c>
      <c r="H79" s="102">
        <v>0.15000334913598998</v>
      </c>
      <c r="I79" s="103">
        <v>553960</v>
      </c>
    </row>
    <row r="80" spans="1:11" s="101" customFormat="1">
      <c r="B80" s="101" t="s">
        <v>551</v>
      </c>
      <c r="C80" s="102">
        <v>0.13016888857436446</v>
      </c>
      <c r="D80" s="103">
        <v>12153634</v>
      </c>
      <c r="G80" s="101" t="s">
        <v>327</v>
      </c>
      <c r="H80" s="102">
        <v>0.11298078355923671</v>
      </c>
      <c r="I80" s="103">
        <v>3050596</v>
      </c>
    </row>
    <row r="81" spans="1:19" s="101" customFormat="1">
      <c r="B81" s="101" t="s">
        <v>552</v>
      </c>
      <c r="C81" s="102">
        <v>0.10577870778986533</v>
      </c>
      <c r="D81" s="103">
        <v>1692097</v>
      </c>
      <c r="G81" s="101" t="s">
        <v>553</v>
      </c>
      <c r="H81" s="102">
        <v>6.7315230514436233E-2</v>
      </c>
      <c r="I81" s="103">
        <v>1692097</v>
      </c>
    </row>
    <row r="82" spans="1:19" s="101" customFormat="1">
      <c r="B82" s="101" t="s">
        <v>554</v>
      </c>
      <c r="C82" s="102">
        <v>9.0707517279975794E-2</v>
      </c>
      <c r="D82" s="103">
        <v>11115023</v>
      </c>
      <c r="G82" s="101" t="s">
        <v>555</v>
      </c>
      <c r="H82" s="102">
        <v>5.1934900917730321E-2</v>
      </c>
      <c r="I82" s="103">
        <v>3689192</v>
      </c>
    </row>
    <row r="83" spans="1:19" s="101" customFormat="1">
      <c r="B83" s="101" t="s">
        <v>556</v>
      </c>
      <c r="C83" s="102">
        <v>0.34527469180739301</v>
      </c>
      <c r="D83" s="103">
        <v>5920853</v>
      </c>
      <c r="G83" s="101" t="s">
        <v>557</v>
      </c>
      <c r="H83" s="102">
        <v>0.24414607165347924</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175</v>
      </c>
      <c r="D93" s="107">
        <v>0.30137013569889393</v>
      </c>
      <c r="E93" s="107">
        <v>0.31327666193874859</v>
      </c>
      <c r="F93" s="107">
        <v>0.249869726285287</v>
      </c>
      <c r="G93" s="107">
        <v>0.30838311037860155</v>
      </c>
      <c r="H93" s="107">
        <v>0.27049919495999786</v>
      </c>
      <c r="I93" s="107">
        <v>0.30619542803316985</v>
      </c>
      <c r="J93" s="107">
        <v>0.34313585285352427</v>
      </c>
      <c r="K93" s="107">
        <v>0.39461711242231007</v>
      </c>
      <c r="L93" s="107">
        <v>0.37361966421912751</v>
      </c>
      <c r="M93" s="107">
        <v>0.356741253021921</v>
      </c>
      <c r="O93" s="101">
        <v>12153634</v>
      </c>
    </row>
    <row r="94" spans="1:19" s="101" customFormat="1" hidden="1">
      <c r="B94" s="101">
        <v>2</v>
      </c>
      <c r="C94" s="101" t="s">
        <v>161</v>
      </c>
      <c r="D94" s="107">
        <v>0.16010500847611142</v>
      </c>
      <c r="E94" s="107">
        <v>0.15584372871393073</v>
      </c>
      <c r="F94" s="107">
        <v>0.13602908656050966</v>
      </c>
      <c r="G94" s="107">
        <v>0.13056912168725537</v>
      </c>
      <c r="H94" s="107">
        <v>9.2756589345654672E-2</v>
      </c>
      <c r="I94" s="107">
        <v>7.9992366619658195E-2</v>
      </c>
      <c r="J94" s="107">
        <v>9.7349065764599632E-2</v>
      </c>
      <c r="K94" s="107">
        <v>0.12427858672750672</v>
      </c>
      <c r="L94" s="107">
        <v>0.15000334913598998</v>
      </c>
      <c r="M94" s="107">
        <v>0.12522758076617008</v>
      </c>
      <c r="O94" s="101">
        <v>553960</v>
      </c>
    </row>
    <row r="95" spans="1:19" s="101" customFormat="1" hidden="1">
      <c r="B95" s="101">
        <v>3</v>
      </c>
      <c r="C95" s="101" t="s">
        <v>180</v>
      </c>
      <c r="D95" s="107">
        <v>0.176768965806258</v>
      </c>
      <c r="E95" s="107">
        <v>0.13221071188071332</v>
      </c>
      <c r="F95" s="107">
        <v>0.21384471077836212</v>
      </c>
      <c r="G95" s="107">
        <v>0.20224216561180708</v>
      </c>
      <c r="H95" s="107">
        <v>0.32172435001989674</v>
      </c>
      <c r="I95" s="107">
        <v>0.23451764617336684</v>
      </c>
      <c r="J95" s="107">
        <v>0.19411595030056836</v>
      </c>
      <c r="K95" s="107">
        <v>0.1392703697711061</v>
      </c>
      <c r="L95" s="107">
        <v>0.11298078355923671</v>
      </c>
      <c r="M95" s="107">
        <v>0.19074916371076009</v>
      </c>
      <c r="O95" s="101">
        <v>3050596</v>
      </c>
    </row>
    <row r="96" spans="1:19" s="101" customFormat="1" hidden="1">
      <c r="B96" s="101">
        <v>4</v>
      </c>
      <c r="C96" s="101" t="s">
        <v>169</v>
      </c>
      <c r="D96" s="107">
        <v>5.2155063158520858E-2</v>
      </c>
      <c r="E96" s="107"/>
      <c r="F96" s="107">
        <v>5.8053617621774058E-2</v>
      </c>
      <c r="G96" s="107">
        <v>6.8743397180923038E-2</v>
      </c>
      <c r="H96" s="107">
        <v>6.9937388615413668E-2</v>
      </c>
      <c r="I96" s="107">
        <v>8.8835811922408719E-2</v>
      </c>
      <c r="J96" s="107">
        <v>8.2308144203577308E-2</v>
      </c>
      <c r="K96" s="107">
        <v>6.7529970290454697E-2</v>
      </c>
      <c r="L96" s="107">
        <v>6.7315230514436233E-2</v>
      </c>
      <c r="M96" s="107">
        <v>6.1283259160530797E-2</v>
      </c>
      <c r="O96" s="101">
        <v>1692097</v>
      </c>
    </row>
    <row r="97" spans="1:15" s="101" customFormat="1" hidden="1">
      <c r="B97" s="101">
        <v>5</v>
      </c>
      <c r="C97" s="101" t="s">
        <v>294</v>
      </c>
      <c r="D97" s="107"/>
      <c r="E97" s="107"/>
      <c r="F97" s="107"/>
      <c r="G97" s="107"/>
      <c r="H97" s="107">
        <v>4.8975269498541502E-2</v>
      </c>
      <c r="I97" s="107">
        <v>4.9573355836687732E-2</v>
      </c>
      <c r="J97" s="107">
        <v>4.9839300509950696E-2</v>
      </c>
      <c r="K97" s="107"/>
      <c r="L97" s="107">
        <v>5.1934900917730321E-2</v>
      </c>
      <c r="M97" s="107"/>
      <c r="O97" s="101">
        <v>3689192</v>
      </c>
    </row>
    <row r="98" spans="1:15" s="101" customFormat="1" hidden="1">
      <c r="B98" s="101">
        <v>6</v>
      </c>
      <c r="C98" s="101" t="s">
        <v>176</v>
      </c>
      <c r="D98" s="107">
        <v>5.7972394508236831E-2</v>
      </c>
      <c r="E98" s="107">
        <v>7.156080587492529E-2</v>
      </c>
      <c r="F98" s="107">
        <v>8.3039232908570543E-2</v>
      </c>
      <c r="G98" s="107">
        <v>5.9223806461051909E-2</v>
      </c>
      <c r="H98" s="107"/>
      <c r="I98" s="107"/>
      <c r="J98" s="107"/>
      <c r="K98" s="107">
        <v>5.2979693709887969E-2</v>
      </c>
      <c r="L98" s="107"/>
      <c r="M98" s="107">
        <v>4.8303485888837483E-2</v>
      </c>
      <c r="O98" s="101">
        <v>11115023</v>
      </c>
    </row>
    <row r="99" spans="1:15" s="101" customFormat="1" hidden="1">
      <c r="B99" s="101">
        <v>7</v>
      </c>
      <c r="C99" s="101" t="s">
        <v>162</v>
      </c>
      <c r="D99" s="107"/>
      <c r="E99" s="107">
        <v>6.1823384450716522E-2</v>
      </c>
      <c r="F99" s="107"/>
      <c r="G99" s="107"/>
      <c r="H99" s="107"/>
      <c r="I99" s="107"/>
      <c r="J99" s="107"/>
      <c r="K99" s="107"/>
      <c r="L99" s="107"/>
      <c r="M99" s="107"/>
      <c r="O99" s="101">
        <v>2480382</v>
      </c>
    </row>
    <row r="100" spans="1:15" s="101" customFormat="1" hidden="1">
      <c r="B100" s="101">
        <v>8</v>
      </c>
      <c r="C100" s="101" t="s">
        <v>251</v>
      </c>
      <c r="D100" s="107">
        <v>0.25162843235197896</v>
      </c>
      <c r="E100" s="107">
        <v>0.26528470714096553</v>
      </c>
      <c r="F100" s="107">
        <v>0.25916362584549663</v>
      </c>
      <c r="G100" s="107">
        <v>0.23083839868036102</v>
      </c>
      <c r="H100" s="107">
        <v>0.19610720756049554</v>
      </c>
      <c r="I100" s="107">
        <v>0.24088539141470869</v>
      </c>
      <c r="J100" s="107">
        <v>0.23325168636777971</v>
      </c>
      <c r="K100" s="107">
        <v>0.22132426707873448</v>
      </c>
      <c r="L100" s="107">
        <v>0.24414607165347924</v>
      </c>
      <c r="M100" s="107">
        <v>0.21769525745178053</v>
      </c>
      <c r="O100" s="101">
        <v>5920853</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9</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5</v>
      </c>
      <c r="D121" s="52">
        <v>10</v>
      </c>
      <c r="E121" s="52">
        <v>5</v>
      </c>
      <c r="F121" s="53">
        <v>20</v>
      </c>
    </row>
    <row r="122" spans="1:15" ht="18" customHeight="1">
      <c r="A122" s="186" t="s">
        <v>198</v>
      </c>
      <c r="B122" s="35" t="s">
        <v>199</v>
      </c>
      <c r="C122" s="54">
        <v>21.455999374389648</v>
      </c>
      <c r="D122" s="54">
        <v>21.566999435424805</v>
      </c>
      <c r="E122" s="54">
        <v>18.607999801635742</v>
      </c>
      <c r="F122" s="55">
        <v>20.79949951171875</v>
      </c>
    </row>
    <row r="123" spans="1:15" ht="18" customHeight="1">
      <c r="A123" s="187"/>
      <c r="B123" s="37" t="s">
        <v>190</v>
      </c>
      <c r="C123" s="56">
        <v>218.60000610351563</v>
      </c>
      <c r="D123" s="56">
        <v>220.5</v>
      </c>
      <c r="E123" s="56">
        <v>212.19999694824219</v>
      </c>
      <c r="F123" s="57">
        <v>217.94999694824219</v>
      </c>
    </row>
    <row r="124" spans="1:15" ht="18" customHeight="1">
      <c r="A124" s="187"/>
      <c r="B124" s="37" t="s">
        <v>191</v>
      </c>
      <c r="C124" s="56">
        <v>113.59999847412109</v>
      </c>
      <c r="D124" s="56">
        <v>103.29999923706055</v>
      </c>
      <c r="E124" s="56">
        <v>95</v>
      </c>
      <c r="F124" s="57">
        <v>103.80000305175781</v>
      </c>
    </row>
    <row r="125" spans="1:15" ht="18" customHeight="1">
      <c r="A125" s="187"/>
      <c r="B125" s="37" t="s">
        <v>192</v>
      </c>
      <c r="C125" s="56">
        <v>236.66313171386719</v>
      </c>
      <c r="D125" s="56">
        <v>235.91094970703125</v>
      </c>
      <c r="E125" s="56">
        <v>216.37107849121094</v>
      </c>
      <c r="F125" s="57">
        <v>231.21403503417969</v>
      </c>
    </row>
    <row r="126" spans="1:15" ht="18" customHeight="1">
      <c r="A126" s="187"/>
      <c r="B126" s="37" t="s">
        <v>193</v>
      </c>
      <c r="C126" s="33">
        <v>279.50527954101563</v>
      </c>
      <c r="D126" s="33">
        <v>150.59236145019531</v>
      </c>
      <c r="E126" s="33">
        <v>141.02345275878906</v>
      </c>
      <c r="F126" s="58">
        <v>180.42835998535156</v>
      </c>
    </row>
    <row r="127" spans="1:15" ht="18" customHeight="1">
      <c r="A127" s="187"/>
      <c r="B127" s="37" t="s">
        <v>200</v>
      </c>
      <c r="C127" s="33">
        <f ca="1">996.690375*OFFSET($L$113,MATCH($N$1,$C$113:$C$114,0)-1,0)</f>
        <v>996.69037500000002</v>
      </c>
      <c r="D127" s="33">
        <f ca="1">658.426640625*OFFSET($L$113,MATCH($N$1,$C$113:$C$114,0)-1,0)</f>
        <v>658.426640625</v>
      </c>
      <c r="E127" s="33">
        <f ca="1">507.36034375*OFFSET($L$113,MATCH($N$1,$C$113:$C$114,0)-1,0)</f>
        <v>507.36034375000003</v>
      </c>
      <c r="F127" s="58">
        <f ca="1">705.226*OFFSET($L$113,MATCH($N$1,$C$113:$C$114,0)-1,0)</f>
        <v>705.226</v>
      </c>
    </row>
    <row r="128" spans="1:15" ht="18" customHeight="1">
      <c r="A128" s="187"/>
      <c r="B128" s="37" t="s">
        <v>195</v>
      </c>
      <c r="C128" s="56">
        <v>261.20001220703125</v>
      </c>
      <c r="D128" s="56">
        <v>208.09999847412109</v>
      </c>
      <c r="E128" s="56">
        <v>187.80000305175781</v>
      </c>
      <c r="F128" s="57">
        <v>216.30000305175781</v>
      </c>
    </row>
    <row r="129" spans="1:15" ht="18" customHeight="1">
      <c r="A129" s="187"/>
      <c r="B129" s="37" t="s">
        <v>201</v>
      </c>
      <c r="C129" s="56">
        <v>22.399999618530273</v>
      </c>
      <c r="D129" s="56">
        <v>29</v>
      </c>
      <c r="E129" s="56">
        <v>27.200000762939453</v>
      </c>
      <c r="F129" s="57">
        <v>26.899999618530273</v>
      </c>
    </row>
    <row r="130" spans="1:15" ht="18" customHeight="1">
      <c r="A130" s="187"/>
      <c r="B130" s="37" t="s">
        <v>202</v>
      </c>
      <c r="C130" s="59">
        <v>1.0700814723968506</v>
      </c>
      <c r="D130" s="59">
        <v>0.7236538325535965</v>
      </c>
      <c r="E130" s="59">
        <v>0.75092357397079468</v>
      </c>
      <c r="F130" s="60">
        <v>0.83415794372558594</v>
      </c>
    </row>
    <row r="131" spans="1:15" ht="18" customHeight="1">
      <c r="A131" s="188"/>
      <c r="B131" s="39" t="s">
        <v>203</v>
      </c>
      <c r="C131" s="40">
        <f ca="1">3565.90893966903*OFFSET($L$113,MATCH($N$1,$C$113:$C$114,0)-1,0)</f>
        <v>3565.9089396690301</v>
      </c>
      <c r="D131" s="40">
        <f ca="1">4372.24460978227*OFFSET($L$113,MATCH($N$1,$C$113:$C$114,0)-1,0)</f>
        <v>4372.2446097822703</v>
      </c>
      <c r="E131" s="40">
        <f ca="1">3597.70189868918*OFFSET($L$113,MATCH($N$1,$C$113:$C$114,0)-1,0)</f>
        <v>3597.7018986891799</v>
      </c>
      <c r="F131" s="61">
        <f ca="1">3909*OFFSET($L$113,MATCH($N$1,$C$113:$C$114,0)-1,0)</f>
        <v>3909</v>
      </c>
    </row>
    <row r="132" spans="1:15" ht="18" customHeight="1">
      <c r="A132" s="198" t="s">
        <v>204</v>
      </c>
      <c r="B132" s="35" t="s">
        <v>205</v>
      </c>
      <c r="C132" s="62">
        <v>4.8830072321422362</v>
      </c>
      <c r="D132" s="62">
        <v>3.2806291775179517</v>
      </c>
      <c r="E132" s="62">
        <v>3.524581950792733</v>
      </c>
      <c r="F132" s="63">
        <v>3.8174020562427544</v>
      </c>
    </row>
    <row r="133" spans="1:15" ht="18" customHeight="1">
      <c r="A133" s="199"/>
      <c r="B133" s="37" t="s">
        <v>206</v>
      </c>
      <c r="C133" s="59">
        <f ca="1">17.4123591415645*OFFSET($L$113,MATCH($N$1,$C$113:$C$114,0)-1,0)</f>
        <v>17.412359141564501</v>
      </c>
      <c r="D133" s="59">
        <f ca="1">14.3437132380973*OFFSET($L$113,MATCH($N$1,$C$113:$C$114,0)-1,0)</f>
        <v>14.343713238097299</v>
      </c>
      <c r="E133" s="59">
        <f ca="1">12.6803951764526*OFFSET($L$113,MATCH($N$1,$C$113:$C$114,0)-1,0)</f>
        <v>12.680395176452601</v>
      </c>
      <c r="F133" s="60">
        <f ca="1">14.9207762168565*OFFSET($L$113,MATCH($N$1,$C$113:$C$114,0)-1,0)</f>
        <v>14.920776216856501</v>
      </c>
    </row>
    <row r="134" spans="1:15" ht="18" customHeight="1">
      <c r="A134" s="199"/>
      <c r="B134" s="37" t="s">
        <v>153</v>
      </c>
      <c r="C134" s="59">
        <f ca="1">13.4767105454777*OFFSET($L$113,MATCH($N$1,$C$113:$C$114,0)-1,0)</f>
        <v>13.476710545477699</v>
      </c>
      <c r="D134" s="59">
        <f ca="1">11.7118530585903*OFFSET($L$113,MATCH($N$1,$C$113:$C$114,0)-1,0)</f>
        <v>11.7118530585903</v>
      </c>
      <c r="E134" s="59">
        <f ca="1">10.8524850047613*OFFSET($L$113,MATCH($N$1,$C$113:$C$114,0)-1,0)</f>
        <v>10.8524850047613</v>
      </c>
      <c r="F134" s="60">
        <f ca="1">12.0643179539963*OFFSET($L$113,MATCH($N$1,$C$113:$C$114,0)-1,0)</f>
        <v>12.0643179539963</v>
      </c>
    </row>
    <row r="135" spans="1:15" ht="18" customHeight="1">
      <c r="A135" s="200"/>
      <c r="B135" s="39" t="s">
        <v>154</v>
      </c>
      <c r="C135" s="64">
        <f ca="1">3.93564859608687*OFFSET($L$113,MATCH($N$1,$C$113:$C$114,0)-1,0)</f>
        <v>3.9356485960868701</v>
      </c>
      <c r="D135" s="64">
        <f ca="1">2.63186017950701*OFFSET($L$113,MATCH($N$1,$C$113:$C$114,0)-1,0)</f>
        <v>2.6318601795070098</v>
      </c>
      <c r="E135" s="64">
        <f ca="1">1.82791017169131*OFFSET($L$113,MATCH($N$1,$C$113:$C$114,0)-1,0)</f>
        <v>1.82791017169131</v>
      </c>
      <c r="F135" s="65">
        <f ca="1">2.85645826286019*OFFSET($L$113,MATCH($N$1,$C$113:$C$114,0)-1,0)</f>
        <v>2.85645826286019</v>
      </c>
    </row>
    <row r="136" spans="1:15" ht="18" customHeight="1">
      <c r="A136" s="201" t="s">
        <v>260</v>
      </c>
      <c r="B136" s="37" t="s">
        <v>261</v>
      </c>
      <c r="C136" s="66">
        <f ca="1">141.00053125*OFFSET($L$113,MATCH($N$1,$C$113:$C$114,0)-1,0)</f>
        <v>141.00053124999999</v>
      </c>
      <c r="D136" s="66">
        <f ca="1">111.80348828125*OFFSET($L$113,MATCH($N$1,$C$113:$C$114,0)-1,0)</f>
        <v>111.80348828125</v>
      </c>
      <c r="E136" s="66">
        <f ca="1">106.10775*OFFSET($L$113,MATCH($N$1,$C$113:$C$114,0)-1,0)</f>
        <v>106.10775</v>
      </c>
      <c r="F136" s="67">
        <f ca="1">117.6788125*OFFSET($L$113,MATCH($N$1,$C$113:$C$114,0)-1,0)</f>
        <v>117.67881250000001</v>
      </c>
    </row>
    <row r="137" spans="1:15" ht="18" customHeight="1">
      <c r="A137" s="202"/>
      <c r="B137" s="37" t="s">
        <v>262</v>
      </c>
      <c r="C137" s="31">
        <v>296500.02049738169</v>
      </c>
      <c r="D137" s="31">
        <v>234249.99267932304</v>
      </c>
      <c r="E137" s="31">
        <v>222910.00682053901</v>
      </c>
      <c r="F137" s="68">
        <v>246977.5</v>
      </c>
    </row>
    <row r="138" spans="1:15" ht="18" customHeight="1">
      <c r="A138" s="202"/>
      <c r="B138" s="37" t="s">
        <v>263</v>
      </c>
      <c r="C138" s="31">
        <v>1135.1455078125</v>
      </c>
      <c r="D138" s="31">
        <v>1125.6607131040125</v>
      </c>
      <c r="E138" s="31">
        <v>1186.9542236328125</v>
      </c>
      <c r="F138" s="68">
        <v>1141.8284912109375</v>
      </c>
    </row>
    <row r="139" spans="1:15" ht="18" customHeight="1">
      <c r="A139" s="202"/>
      <c r="B139" s="37" t="s">
        <v>264</v>
      </c>
      <c r="C139" s="31">
        <f ca="1">539.818241425811*OFFSET($L$113,MATCH($N$1,$C$113:$C$114,0)-1,0)</f>
        <v>539.81824142581104</v>
      </c>
      <c r="D139" s="31">
        <f ca="1">537.25847717944*OFFSET($L$113,MATCH($N$1,$C$113:$C$114,0)-1,0)</f>
        <v>537.25847717943998</v>
      </c>
      <c r="E139" s="31">
        <f ca="1">565.003984428885*OFFSET($L$113,MATCH($N$1,$C$113:$C$114,0)-1,0)</f>
        <v>565.00398442888502</v>
      </c>
      <c r="F139" s="68">
        <f ca="1">544.053679332778*OFFSET($L$113,MATCH($N$1,$C$113:$C$114,0)-1,0)</f>
        <v>544.05367933277796</v>
      </c>
      <c r="I139" s="43"/>
      <c r="L139" s="69" t="str">
        <f>C120</f>
        <v>Most
profitable
quartile</v>
      </c>
      <c r="M139" s="69" t="str">
        <f>D120</f>
        <v>Middle
two quartiles</v>
      </c>
      <c r="N139" s="69" t="str">
        <f>E120</f>
        <v>Least
profitable
quartile</v>
      </c>
      <c r="O139" s="69"/>
    </row>
    <row r="140" spans="1:15" ht="18" customHeight="1">
      <c r="A140" s="202"/>
      <c r="B140" s="37" t="s">
        <v>265</v>
      </c>
      <c r="C140" s="31">
        <f ca="1">504.464643678793*OFFSET($L$113,MATCH($N$1,$C$113:$C$114,0)-1,0)</f>
        <v>504.46464367879298</v>
      </c>
      <c r="D140" s="31">
        <f ca="1">742.424696741516*OFFSET($L$113,MATCH($N$1,$C$113:$C$114,0)-1,0)</f>
        <v>742.42469674151596</v>
      </c>
      <c r="E140" s="31">
        <f ca="1">752.412084119725*OFFSET($L$113,MATCH($N$1,$C$113:$C$114,0)-1,0)</f>
        <v>752.41208411972502</v>
      </c>
      <c r="F140" s="68">
        <f ca="1">652.219044220953*OFFSET($L$113,MATCH($N$1,$C$113:$C$114,0)-1,0)</f>
        <v>652.21904422095304</v>
      </c>
      <c r="I140" s="43"/>
      <c r="K140" s="69" t="s">
        <v>266</v>
      </c>
      <c r="L140" s="70">
        <f t="shared" ref="L140:M142" ca="1" si="2">C141</f>
        <v>1010.849</v>
      </c>
      <c r="M140" s="70">
        <f t="shared" ca="1" si="2"/>
        <v>658.426640625</v>
      </c>
      <c r="N140" s="70">
        <f ca="1">E141</f>
        <v>507.36034375000003</v>
      </c>
      <c r="O140" s="70"/>
    </row>
    <row r="141" spans="1:15" ht="18" customHeight="1">
      <c r="A141" s="179" t="s">
        <v>267</v>
      </c>
      <c r="B141" s="35" t="s">
        <v>268</v>
      </c>
      <c r="C141" s="71">
        <f ca="1">1010.849*OFFSET($L$113,MATCH($N$1,$C$113:$C$114,0)-1,0)</f>
        <v>1010.849</v>
      </c>
      <c r="D141" s="71">
        <f ca="1">658.426640625*OFFSET($L$113,MATCH($N$1,$C$113:$C$114,0)-1,0)</f>
        <v>658.426640625</v>
      </c>
      <c r="E141" s="71">
        <f ca="1">507.36034375*OFFSET($L$113,MATCH($N$1,$C$113:$C$114,0)-1,0)</f>
        <v>507.36034375000003</v>
      </c>
      <c r="F141" s="72">
        <f ca="1">708.7656875*OFFSET($L$113,MATCH($N$1,$C$113:$C$114,0)-1,0)</f>
        <v>708.76568750000001</v>
      </c>
      <c r="I141" s="43"/>
      <c r="K141" s="69" t="s">
        <v>269</v>
      </c>
      <c r="L141" s="70">
        <f t="shared" ca="1" si="2"/>
        <v>785.570875</v>
      </c>
      <c r="M141" s="70">
        <f t="shared" ca="1" si="2"/>
        <v>537.61504687499996</v>
      </c>
      <c r="N141" s="70">
        <f ca="1">E142</f>
        <v>434.22309374999998</v>
      </c>
      <c r="O141" s="70"/>
    </row>
    <row r="142" spans="1:15" ht="18" customHeight="1">
      <c r="A142" s="180"/>
      <c r="B142" s="37" t="s">
        <v>270</v>
      </c>
      <c r="C142" s="31">
        <f ca="1">785.570875*OFFSET($L$113,MATCH($N$1,$C$113:$C$114,0)-1,0)</f>
        <v>785.570875</v>
      </c>
      <c r="D142" s="31">
        <f ca="1">537.615046875*OFFSET($L$113,MATCH($N$1,$C$113:$C$114,0)-1,0)</f>
        <v>537.61504687499996</v>
      </c>
      <c r="E142" s="31">
        <f ca="1">434.22309375*OFFSET($L$113,MATCH($N$1,$C$113:$C$114,0)-1,0)</f>
        <v>434.22309374999998</v>
      </c>
      <c r="F142" s="68">
        <f ca="1">573.756*OFFSET($L$113,MATCH($N$1,$C$113:$C$114,0)-1,0)</f>
        <v>573.75599999999997</v>
      </c>
      <c r="I142" s="43"/>
      <c r="K142" s="69" t="s">
        <v>271</v>
      </c>
      <c r="L142" s="70">
        <f t="shared" ca="1" si="2"/>
        <v>225.27812499999999</v>
      </c>
      <c r="M142" s="70">
        <f t="shared" ca="1" si="2"/>
        <v>120.81159375</v>
      </c>
      <c r="N142" s="70">
        <f ca="1">E143</f>
        <v>73.137249999999995</v>
      </c>
      <c r="O142" s="70"/>
    </row>
    <row r="143" spans="1:15" ht="18" customHeight="1">
      <c r="A143" s="181"/>
      <c r="B143" s="39" t="s">
        <v>272</v>
      </c>
      <c r="C143" s="40">
        <f ca="1">225.278125*OFFSET($L$113,MATCH($N$1,$C$113:$C$114,0)-1,0)</f>
        <v>225.27812499999999</v>
      </c>
      <c r="D143" s="40">
        <f ca="1">120.81159375*OFFSET($L$113,MATCH($N$1,$C$113:$C$114,0)-1,0)</f>
        <v>120.81159375</v>
      </c>
      <c r="E143" s="40">
        <f ca="1">73.13725*OFFSET($L$113,MATCH($N$1,$C$113:$C$114,0)-1,0)</f>
        <v>73.137249999999995</v>
      </c>
      <c r="F143" s="61">
        <f ca="1">135.009640625*OFFSET($L$113,MATCH($N$1,$C$113:$C$114,0)-1,0)</f>
        <v>135.009640625</v>
      </c>
      <c r="I143" s="43"/>
      <c r="K143" s="69" t="s">
        <v>273</v>
      </c>
      <c r="L143" s="73">
        <f ca="1">IFERROR(L141/L$140,"")</f>
        <v>0.77713968654071974</v>
      </c>
      <c r="M143" s="73">
        <f t="shared" ref="M143:N144" ca="1" si="3">IFERROR(M141/M$140,"")</f>
        <v>0.8165147241987023</v>
      </c>
      <c r="N143" s="73">
        <f t="shared" ca="1" si="3"/>
        <v>0.85584752355805294</v>
      </c>
      <c r="O143" s="73"/>
    </row>
    <row r="144" spans="1:15" ht="18" customHeight="1">
      <c r="I144" s="43"/>
      <c r="K144" s="69" t="s">
        <v>274</v>
      </c>
      <c r="L144" s="73">
        <f ca="1">IFERROR(L142/L$140,"")</f>
        <v>0.22286031345928026</v>
      </c>
      <c r="M144" s="73">
        <f t="shared" ca="1" si="3"/>
        <v>0.18348527580129761</v>
      </c>
      <c r="N144" s="73">
        <f t="shared" ca="1" si="3"/>
        <v>0.14415247644194698</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8</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161</v>
      </c>
      <c r="C163" s="48">
        <v>0.16450122967687747</v>
      </c>
      <c r="D163" s="48">
        <v>0.23472074787469338</v>
      </c>
      <c r="E163" s="48">
        <v>0.15923988426197228</v>
      </c>
      <c r="F163" s="44">
        <v>553960</v>
      </c>
      <c r="G163" s="44">
        <v>1</v>
      </c>
      <c r="H163" s="48" t="s">
        <v>175</v>
      </c>
      <c r="I163" s="48">
        <v>0.27448197837235982</v>
      </c>
      <c r="J163" s="48">
        <v>0.4601747547306263</v>
      </c>
      <c r="K163" s="48">
        <v>0.42728007100447091</v>
      </c>
      <c r="L163" s="44">
        <v>12153634</v>
      </c>
      <c r="R163" s="21"/>
      <c r="S163" s="21"/>
    </row>
    <row r="164" spans="1:19" s="43" customFormat="1">
      <c r="A164" s="44">
        <v>2</v>
      </c>
      <c r="B164" s="48" t="s">
        <v>175</v>
      </c>
      <c r="C164" s="48">
        <v>7.9544974134684115E-2</v>
      </c>
      <c r="D164" s="48">
        <v>0.19467690547849259</v>
      </c>
      <c r="E164" s="48">
        <v>0.14714090941275598</v>
      </c>
      <c r="F164" s="44">
        <v>12153634</v>
      </c>
      <c r="G164" s="44">
        <v>2</v>
      </c>
      <c r="H164" s="48" t="s">
        <v>161</v>
      </c>
      <c r="I164" s="48">
        <v>0.15179132891052027</v>
      </c>
      <c r="J164" s="48">
        <v>0.16322701578001175</v>
      </c>
      <c r="K164" s="48">
        <v>0.14180878866745444</v>
      </c>
      <c r="L164" s="44">
        <v>553960</v>
      </c>
      <c r="N164" s="43" t="s">
        <v>278</v>
      </c>
      <c r="R164" s="21"/>
      <c r="S164" s="21"/>
    </row>
    <row r="165" spans="1:19" s="43" customFormat="1">
      <c r="A165" s="44">
        <v>3</v>
      </c>
      <c r="B165" s="48" t="s">
        <v>180</v>
      </c>
      <c r="C165" s="48">
        <v>0.19402210029299816</v>
      </c>
      <c r="D165" s="48">
        <v>0.15561368571349965</v>
      </c>
      <c r="E165" s="48">
        <v>8.4582378429107388E-2</v>
      </c>
      <c r="F165" s="44">
        <v>3050596</v>
      </c>
      <c r="G165" s="44">
        <v>3</v>
      </c>
      <c r="H165" s="48" t="s">
        <v>180</v>
      </c>
      <c r="I165" s="48">
        <v>0.16329893738612591</v>
      </c>
      <c r="J165" s="48">
        <v>0.10169554046924932</v>
      </c>
      <c r="K165" s="48">
        <v>6.1890057768806711E-2</v>
      </c>
      <c r="L165" s="44">
        <v>3050596</v>
      </c>
      <c r="N165" s="43" t="s">
        <v>279</v>
      </c>
      <c r="R165" s="21"/>
      <c r="S165" s="21"/>
    </row>
    <row r="166" spans="1:19" s="43" customFormat="1">
      <c r="A166" s="44">
        <v>4</v>
      </c>
      <c r="B166" s="48" t="s">
        <v>169</v>
      </c>
      <c r="C166" s="48">
        <v>9.7150511209468174E-2</v>
      </c>
      <c r="D166" s="48">
        <v>0.13566194888564648</v>
      </c>
      <c r="E166" s="48">
        <v>9.6971519588333124E-2</v>
      </c>
      <c r="F166" s="44">
        <v>1692097</v>
      </c>
      <c r="G166" s="44">
        <v>4</v>
      </c>
      <c r="H166" s="48" t="s">
        <v>169</v>
      </c>
      <c r="I166" s="48">
        <v>7.2583312597003846E-2</v>
      </c>
      <c r="J166" s="48">
        <v>7.3789931818912316E-2</v>
      </c>
      <c r="K166" s="48">
        <v>5.3560482998178283E-2</v>
      </c>
      <c r="L166" s="44">
        <v>1692097</v>
      </c>
      <c r="R166" s="21"/>
      <c r="S166" s="21"/>
    </row>
    <row r="167" spans="1:19" s="43" customFormat="1">
      <c r="A167" s="44">
        <v>5</v>
      </c>
      <c r="B167" s="48" t="s">
        <v>162</v>
      </c>
      <c r="C167" s="48">
        <v>0</v>
      </c>
      <c r="D167" s="48">
        <v>6.586777791443521E-2</v>
      </c>
      <c r="E167" s="48">
        <v>0</v>
      </c>
      <c r="F167" s="44">
        <v>2480382</v>
      </c>
      <c r="G167" s="44">
        <v>5</v>
      </c>
      <c r="H167" s="48" t="s">
        <v>162</v>
      </c>
      <c r="I167" s="48">
        <v>0</v>
      </c>
      <c r="J167" s="48">
        <v>5.7345188888665112E-2</v>
      </c>
      <c r="K167" s="48">
        <v>0</v>
      </c>
      <c r="L167" s="44">
        <v>2480382</v>
      </c>
      <c r="R167" s="21"/>
      <c r="S167" s="21"/>
    </row>
    <row r="168" spans="1:19" s="43" customFormat="1">
      <c r="A168" s="44">
        <v>6</v>
      </c>
      <c r="B168" s="48" t="s">
        <v>176</v>
      </c>
      <c r="C168" s="48">
        <v>8.6359660964511101E-2</v>
      </c>
      <c r="D168" s="48">
        <v>0</v>
      </c>
      <c r="E168" s="48">
        <v>0.2451038905213197</v>
      </c>
      <c r="F168" s="44">
        <v>11115023</v>
      </c>
      <c r="G168" s="44">
        <v>6</v>
      </c>
      <c r="H168" s="48" t="s">
        <v>176</v>
      </c>
      <c r="I168" s="48">
        <v>0</v>
      </c>
      <c r="J168" s="48">
        <v>0</v>
      </c>
      <c r="K168" s="48">
        <v>0.12544489127181477</v>
      </c>
      <c r="L168" s="44">
        <v>11115023</v>
      </c>
      <c r="R168" s="21"/>
      <c r="S168" s="21"/>
    </row>
    <row r="169" spans="1:19" s="43" customFormat="1">
      <c r="A169" s="44">
        <v>7</v>
      </c>
      <c r="B169" s="48" t="s">
        <v>251</v>
      </c>
      <c r="C169" s="48">
        <v>0.37842152372146098</v>
      </c>
      <c r="D169" s="48">
        <v>0.21345893413323269</v>
      </c>
      <c r="E169" s="48">
        <v>0.2669614177865115</v>
      </c>
      <c r="F169" s="44">
        <v>5920853</v>
      </c>
      <c r="G169" s="44">
        <v>7</v>
      </c>
      <c r="H169" s="48" t="s">
        <v>294</v>
      </c>
      <c r="I169" s="48">
        <v>6.3035129099466902E-2</v>
      </c>
      <c r="J169" s="48">
        <v>0</v>
      </c>
      <c r="K169" s="48">
        <v>0</v>
      </c>
      <c r="L169" s="44">
        <v>3689192</v>
      </c>
      <c r="R169" s="21"/>
      <c r="S169" s="21"/>
    </row>
    <row r="170" spans="1:19" s="43" customFormat="1">
      <c r="A170" s="44">
        <v>8</v>
      </c>
      <c r="B170" s="48"/>
      <c r="C170" s="48">
        <v>0</v>
      </c>
      <c r="D170" s="48">
        <v>0</v>
      </c>
      <c r="E170" s="48">
        <v>0</v>
      </c>
      <c r="F170" s="44"/>
      <c r="G170" s="44">
        <v>8</v>
      </c>
      <c r="H170" s="48" t="s">
        <v>251</v>
      </c>
      <c r="I170" s="48">
        <v>0.27480931363452332</v>
      </c>
      <c r="J170" s="48">
        <v>0.14376756831253512</v>
      </c>
      <c r="K170" s="48">
        <v>0.19001570828927483</v>
      </c>
      <c r="L170" s="44">
        <v>5920853</v>
      </c>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0A55D845-67F7-4129-BE48-E847E611EC6D}">
      <formula1>$C$113:$C$114</formula1>
    </dataValidation>
  </dataValidations>
  <hyperlinks>
    <hyperlink ref="O1:P1" location="Home_page" display="Back to home page" xr:uid="{4F71EDAE-216D-46EB-AB10-EC77768299C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7B350867-E70E-4617-890C-5CEBFFE62D8D}">
          <x14:colorSeries rgb="FF323232"/>
          <x14:colorNegative rgb="FFD00000"/>
          <x14:colorAxis rgb="FF000000"/>
          <x14:colorMarkers rgb="FFD00000"/>
          <x14:colorFirst rgb="FFD00000"/>
          <x14:colorLast rgb="FFD00000"/>
          <x14:colorHigh rgb="FFD00000"/>
          <x14:colorLow rgb="FFD00000"/>
          <x14:sparklines>
            <x14:sparkline>
              <xm:f>'South West beamers u250kW'!D3:N3</xm:f>
              <xm:sqref>C3</xm:sqref>
            </x14:sparkline>
            <x14:sparkline>
              <xm:f>'South West beamers u250kW'!D4:N4</xm:f>
              <xm:sqref>C4</xm:sqref>
            </x14:sparkline>
            <x14:sparkline>
              <xm:f>'South West beamers u250kW'!D5:N5</xm:f>
              <xm:sqref>C5</xm:sqref>
            </x14:sparkline>
            <x14:sparkline>
              <xm:f>'South West beamers u250kW'!D6:N6</xm:f>
              <xm:sqref>C6</xm:sqref>
            </x14:sparkline>
            <x14:sparkline>
              <xm:f>'South West beamers u250kW'!D7:N7</xm:f>
              <xm:sqref>C7</xm:sqref>
            </x14:sparkline>
            <x14:sparkline>
              <xm:f>'South West beamers u250kW'!D8:N8</xm:f>
              <xm:sqref>C8</xm:sqref>
            </x14:sparkline>
            <x14:sparkline>
              <xm:f>'South West beamers u250kW'!D9:N9</xm:f>
              <xm:sqref>C9</xm:sqref>
            </x14:sparkline>
            <x14:sparkline>
              <xm:f>'South West beamers u250kW'!D10:N10</xm:f>
              <xm:sqref>C10</xm:sqref>
            </x14:sparkline>
            <x14:sparkline>
              <xm:f>'South West beamers u250kW'!D11:N11</xm:f>
              <xm:sqref>C11</xm:sqref>
            </x14:sparkline>
            <x14:sparkline>
              <xm:f>'South West beamers u250kW'!D12:N12</xm:f>
              <xm:sqref>C12</xm:sqref>
            </x14:sparkline>
            <x14:sparkline>
              <xm:f>'South West beamers u250kW'!D13:N13</xm:f>
              <xm:sqref>C13</xm:sqref>
            </x14:sparkline>
            <x14:sparkline>
              <xm:f>'South West beamers u250kW'!D14:N14</xm:f>
              <xm:sqref>C14</xm:sqref>
            </x14:sparkline>
            <x14:sparkline>
              <xm:f>'South West beamers u250kW'!D15:N15</xm:f>
              <xm:sqref>C15</xm:sqref>
            </x14:sparkline>
            <x14:sparkline>
              <xm:f>'South West beamers u250kW'!D16:N16</xm:f>
              <xm:sqref>C16</xm:sqref>
            </x14:sparkline>
            <x14:sparkline>
              <xm:f>'South West beamers u250kW'!D17:N17</xm:f>
              <xm:sqref>C17</xm:sqref>
            </x14:sparkline>
            <x14:sparkline>
              <xm:f>'South West beamers u250kW'!D18:N18</xm:f>
              <xm:sqref>C18</xm:sqref>
            </x14:sparkline>
            <x14:sparkline>
              <xm:f>'South West beamers u250kW'!D19:N19</xm:f>
              <xm:sqref>C19</xm:sqref>
            </x14:sparkline>
            <x14:sparkline>
              <xm:f>'South West beamers u250kW'!D20:N20</xm:f>
              <xm:sqref>C20</xm:sqref>
            </x14:sparkline>
            <x14:sparkline>
              <xm:f>'South West beamers u250kW'!D21:N21</xm:f>
              <xm:sqref>C21</xm:sqref>
            </x14:sparkline>
            <x14:sparkline>
              <xm:f>'South West beamers u250kW'!D22:N22</xm:f>
              <xm:sqref>C22</xm:sqref>
            </x14:sparkline>
            <x14:sparkline>
              <xm:f>'South West beamers u250kW'!D23:N23</xm:f>
              <xm:sqref>C23</xm:sqref>
            </x14:sparkline>
            <x14:sparkline>
              <xm:f>'South West beamers u250kW'!D24:N24</xm:f>
              <xm:sqref>C24</xm:sqref>
            </x14:sparkline>
            <x14:sparkline>
              <xm:f>'South West beamers u250kW'!D25:N25</xm:f>
              <xm:sqref>C25</xm:sqref>
            </x14:sparkline>
            <x14:sparkline>
              <xm:f>'South West beamers u250kW'!D26:N26</xm:f>
              <xm:sqref>C26</xm:sqref>
            </x14:sparkline>
            <x14:sparkline>
              <xm:f>'South West beamers u250kW'!D27:N27</xm:f>
              <xm:sqref>C27</xm:sqref>
            </x14:sparkline>
            <x14:sparkline>
              <xm:f>'South West beamers u250kW'!D28:N28</xm:f>
              <xm:sqref>C28</xm:sqref>
            </x14:sparkline>
            <x14:sparkline>
              <xm:f>'South West beamers u250kW'!D29:N29</xm:f>
              <xm:sqref>C29</xm:sqref>
            </x14:sparkline>
            <x14:sparkline>
              <xm:f>'South West beamers u250kW'!D30:N30</xm:f>
              <xm:sqref>C30</xm:sqref>
            </x14:sparkline>
            <x14:sparkline>
              <xm:f>'South West beamers u250kW'!D31:N31</xm:f>
              <xm:sqref>C31</xm:sqref>
            </x14:sparkline>
            <x14:sparkline>
              <xm:f>'South West beamers u250kW'!D32:N32</xm:f>
              <xm:sqref>C32</xm:sqref>
            </x14:sparkline>
            <x14:sparkline>
              <xm:f>'South West beamers u250kW'!D33:N33</xm:f>
              <xm:sqref>C33</xm:sqref>
            </x14:sparkline>
            <x14:sparkline>
              <xm:f>'South West beamers u250kW'!D34:N34</xm:f>
              <xm:sqref>C34</xm:sqref>
            </x14:sparkline>
            <x14:sparkline>
              <xm:f>'South West beamers u250kW'!D35:N35</xm:f>
              <xm:sqref>C35</xm:sqref>
            </x14:sparkline>
            <x14:sparkline>
              <xm:f>'South West beamers u250kW'!D36:N36</xm:f>
              <xm:sqref>C36</xm:sqref>
            </x14:sparkline>
            <x14:sparkline>
              <xm:f>'South West beamers u250kW'!D37:N37</xm:f>
              <xm:sqref>C37</xm:sqref>
            </x14:sparkline>
            <x14:sparkline>
              <xm:f>'South West beamers u250kW'!D38:N38</xm:f>
              <xm:sqref>C38</xm:sqref>
            </x14:sparkline>
            <x14:sparkline>
              <xm:f>'South West beamers u250kW'!D39:N39</xm:f>
              <xm:sqref>C39</xm:sqref>
            </x14:sparkline>
            <x14:sparkline>
              <xm:f>'South West beamers u250kW'!D40:N40</xm:f>
              <xm:sqref>C40</xm:sqref>
            </x14:sparkline>
            <x14:sparkline>
              <xm:f>'South West beamers u250kW'!D41:N41</xm:f>
              <xm:sqref>C41</xm:sqref>
            </x14:sparkline>
            <x14:sparkline>
              <xm:f>'South West beamers u250kW'!D42:N42</xm:f>
              <xm:sqref>C42</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1B2C0-A863-41EA-9CDF-FF92F68A7C46}">
  <sheetPr codeName="Feuil31">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32</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87</v>
      </c>
      <c r="E3" s="28">
        <v>96</v>
      </c>
      <c r="F3" s="28">
        <v>97</v>
      </c>
      <c r="G3" s="28">
        <v>92</v>
      </c>
      <c r="H3" s="28">
        <v>91</v>
      </c>
      <c r="I3" s="28">
        <v>88</v>
      </c>
      <c r="J3" s="28">
        <v>81</v>
      </c>
      <c r="K3" s="28">
        <v>76</v>
      </c>
      <c r="L3" s="28">
        <v>69</v>
      </c>
      <c r="M3" s="28">
        <v>63</v>
      </c>
      <c r="N3" s="28">
        <v>64</v>
      </c>
      <c r="O3" s="29">
        <f t="shared" ref="O3:O42" si="0">IF(N3=0,"",IFERROR(IF(AND(N3&gt;0,D3&lt;0),"na",IF(AND(N3&lt;0,D3&lt;0),-1,1)*(N3-D3)/D3),""))</f>
        <v>-0.26436781609195403</v>
      </c>
      <c r="P3" s="29">
        <f t="shared" ref="P3:P42" si="1">IF(N3=0,"",IFERROR(IF(AND(N3&gt;0,J3&lt;0),"na",IF(AND(N3&lt;0,J3&lt;0),-1,1)*(N3-J3)/J3),""))</f>
        <v>-0.20987654320987653</v>
      </c>
    </row>
    <row r="4" spans="1:17" ht="18" customHeight="1">
      <c r="A4" s="185"/>
      <c r="B4" s="30" t="s">
        <v>190</v>
      </c>
      <c r="C4" s="31"/>
      <c r="D4" s="31">
        <v>33757</v>
      </c>
      <c r="E4" s="31">
        <v>37007</v>
      </c>
      <c r="F4" s="31">
        <v>36242</v>
      </c>
      <c r="G4" s="31">
        <v>34642</v>
      </c>
      <c r="H4" s="31">
        <v>33863</v>
      </c>
      <c r="I4" s="31">
        <v>31174</v>
      </c>
      <c r="J4" s="31">
        <v>29356</v>
      </c>
      <c r="K4" s="31">
        <v>28775</v>
      </c>
      <c r="L4" s="31">
        <v>27365</v>
      </c>
      <c r="M4" s="31">
        <v>24205</v>
      </c>
      <c r="N4" s="31">
        <v>24841</v>
      </c>
      <c r="O4" s="29">
        <f t="shared" si="0"/>
        <v>-0.26412299671179312</v>
      </c>
      <c r="P4" s="29">
        <f t="shared" si="1"/>
        <v>-0.15380160784848071</v>
      </c>
    </row>
    <row r="5" spans="1:17" ht="18" customHeight="1">
      <c r="A5" s="185"/>
      <c r="B5" s="30" t="s">
        <v>191</v>
      </c>
      <c r="C5" s="31"/>
      <c r="D5" s="31">
        <v>10610</v>
      </c>
      <c r="E5" s="31">
        <v>11506</v>
      </c>
      <c r="F5" s="31">
        <v>11427</v>
      </c>
      <c r="G5" s="31">
        <v>10902</v>
      </c>
      <c r="H5" s="31">
        <v>10801</v>
      </c>
      <c r="I5" s="31">
        <v>10297</v>
      </c>
      <c r="J5" s="31">
        <v>9829</v>
      </c>
      <c r="K5" s="31">
        <v>9744</v>
      </c>
      <c r="L5" s="31">
        <v>9482</v>
      </c>
      <c r="M5" s="31">
        <v>8690</v>
      </c>
      <c r="N5" s="31">
        <v>8868</v>
      </c>
      <c r="O5" s="29">
        <f t="shared" si="0"/>
        <v>-0.16418473138548539</v>
      </c>
      <c r="P5" s="29">
        <f t="shared" si="1"/>
        <v>-9.7771899481127272E-2</v>
      </c>
      <c r="Q5" s="32"/>
    </row>
    <row r="6" spans="1:17" ht="18" customHeight="1">
      <c r="A6" s="185"/>
      <c r="B6" s="30" t="s">
        <v>192</v>
      </c>
      <c r="C6" s="31"/>
      <c r="D6" s="31">
        <v>28108.28515625</v>
      </c>
      <c r="E6" s="31">
        <v>30654.8046875</v>
      </c>
      <c r="F6" s="31">
        <v>30213.130859375</v>
      </c>
      <c r="G6" s="31">
        <v>28842.88671875</v>
      </c>
      <c r="H6" s="31">
        <v>28257.287109375</v>
      </c>
      <c r="I6" s="31">
        <v>26277.767578125</v>
      </c>
      <c r="J6" s="31">
        <v>24687.232421875</v>
      </c>
      <c r="K6" s="31">
        <v>24078.087890625</v>
      </c>
      <c r="L6" s="31">
        <v>22926.91015625</v>
      </c>
      <c r="M6" s="31">
        <v>20479.779296875</v>
      </c>
      <c r="N6" s="31">
        <v>20955.83984375</v>
      </c>
      <c r="O6" s="29">
        <f t="shared" si="0"/>
        <v>-0.25446039389242581</v>
      </c>
      <c r="P6" s="29">
        <f t="shared" si="1"/>
        <v>-0.15114665404205727</v>
      </c>
    </row>
    <row r="7" spans="1:17" ht="18" customHeight="1">
      <c r="A7" s="185"/>
      <c r="B7" s="30" t="s">
        <v>193</v>
      </c>
      <c r="C7" s="31"/>
      <c r="D7" s="31">
        <v>48397.71875</v>
      </c>
      <c r="E7" s="31">
        <v>35850.22265625</v>
      </c>
      <c r="F7" s="31">
        <v>27129.328125</v>
      </c>
      <c r="G7" s="31">
        <v>28151.732421875</v>
      </c>
      <c r="H7" s="31">
        <v>26387.650390625</v>
      </c>
      <c r="I7" s="31">
        <v>19956.63671875</v>
      </c>
      <c r="J7" s="31">
        <v>17611.796875</v>
      </c>
      <c r="K7" s="31">
        <v>18650.982421875</v>
      </c>
      <c r="L7" s="31">
        <v>16728.130859375</v>
      </c>
      <c r="M7" s="31">
        <v>21458.931640625</v>
      </c>
      <c r="N7" s="31">
        <v>21730.796875</v>
      </c>
      <c r="O7" s="29">
        <f t="shared" si="0"/>
        <v>-0.5509954304406135</v>
      </c>
      <c r="P7" s="29">
        <f t="shared" si="1"/>
        <v>0.23387732831775576</v>
      </c>
    </row>
    <row r="8" spans="1:17" ht="18" customHeight="1">
      <c r="A8" s="185"/>
      <c r="B8" s="30" t="s">
        <v>194</v>
      </c>
      <c r="C8" s="33"/>
      <c r="D8" s="33">
        <f ca="1">57.735776*OFFSET(D$113,MATCH($N$1,$C$113:$C$114,0)-1,0)</f>
        <v>57.735776000000001</v>
      </c>
      <c r="E8" s="33">
        <f ca="1">52.065772*OFFSET(E$113,MATCH($N$1,$C$113:$C$114,0)-1,0)</f>
        <v>52.065772000000003</v>
      </c>
      <c r="F8" s="33">
        <f ca="1">48.079768*OFFSET(F$113,MATCH($N$1,$C$113:$C$114,0)-1,0)</f>
        <v>48.079768000000001</v>
      </c>
      <c r="G8" s="33">
        <f ca="1">49.271124*OFFSET(G$113,MATCH($N$1,$C$113:$C$114,0)-1,0)</f>
        <v>49.271124</v>
      </c>
      <c r="H8" s="33">
        <f ca="1">55.758948*OFFSET(H$113,MATCH($N$1,$C$113:$C$114,0)-1,0)</f>
        <v>55.758947999999997</v>
      </c>
      <c r="I8" s="33">
        <f ca="1">50.7383*OFFSET(I$113,MATCH($N$1,$C$113:$C$114,0)-1,0)</f>
        <v>50.738300000000002</v>
      </c>
      <c r="J8" s="33">
        <f ca="1">46.964464*OFFSET(J$113,MATCH($N$1,$C$113:$C$114,0)-1,0)</f>
        <v>46.964464</v>
      </c>
      <c r="K8" s="33">
        <f ca="1">41.888256*OFFSET(K$113,MATCH($N$1,$C$113:$C$114,0)-1,0)</f>
        <v>41.888255999999998</v>
      </c>
      <c r="L8" s="33">
        <f ca="1">28.617978*OFFSET(L$113,MATCH($N$1,$C$113:$C$114,0)-1,0)</f>
        <v>28.617978000000001</v>
      </c>
      <c r="M8" s="33">
        <f ca="1">37.00254*OFFSET(M$113,MATCH($N$1,$C$113:$C$114,0)-1,0)</f>
        <v>37.002540000000003</v>
      </c>
      <c r="N8" s="33">
        <v>39.872064000000002</v>
      </c>
      <c r="O8" s="29">
        <f t="shared" ca="1" si="0"/>
        <v>-0.30940455359948743</v>
      </c>
      <c r="P8" s="29">
        <f t="shared" ca="1" si="1"/>
        <v>-0.15101630884151043</v>
      </c>
    </row>
    <row r="9" spans="1:17" ht="18" customHeight="1">
      <c r="A9" s="185"/>
      <c r="B9" s="30" t="s">
        <v>195</v>
      </c>
      <c r="C9" s="31"/>
      <c r="D9" s="31">
        <v>14947</v>
      </c>
      <c r="E9" s="31">
        <v>16124</v>
      </c>
      <c r="F9" s="31">
        <v>16551</v>
      </c>
      <c r="G9" s="31">
        <v>15953</v>
      </c>
      <c r="H9" s="31">
        <v>16691</v>
      </c>
      <c r="I9" s="31">
        <v>15107</v>
      </c>
      <c r="J9" s="31">
        <v>14057</v>
      </c>
      <c r="K9" s="31">
        <v>12935</v>
      </c>
      <c r="L9" s="31">
        <v>9311</v>
      </c>
      <c r="M9" s="31">
        <v>10889</v>
      </c>
      <c r="N9" s="31">
        <v>10731</v>
      </c>
      <c r="O9" s="29">
        <f t="shared" si="0"/>
        <v>-0.28206329029236638</v>
      </c>
      <c r="P9" s="29">
        <f t="shared" si="1"/>
        <v>-0.23660809561072776</v>
      </c>
    </row>
    <row r="10" spans="1:17" ht="18" customHeight="1">
      <c r="A10" s="185"/>
      <c r="B10" s="30" t="s">
        <v>196</v>
      </c>
      <c r="C10" s="31"/>
      <c r="D10" s="31">
        <v>16337.9</v>
      </c>
      <c r="E10" s="31">
        <v>17443.7</v>
      </c>
      <c r="F10" s="31">
        <v>17651.8</v>
      </c>
      <c r="G10" s="31">
        <v>17524</v>
      </c>
      <c r="H10" s="31">
        <v>18044.45</v>
      </c>
      <c r="I10" s="31">
        <v>16252.45</v>
      </c>
      <c r="J10" s="31">
        <v>15291.95</v>
      </c>
      <c r="K10" s="31">
        <v>14259.95</v>
      </c>
      <c r="L10" s="31">
        <v>10681</v>
      </c>
      <c r="M10" s="31">
        <v>12486.800000000001</v>
      </c>
      <c r="N10" s="31">
        <v>11931.5</v>
      </c>
      <c r="O10" s="29">
        <f t="shared" si="0"/>
        <v>-0.26970418474834584</v>
      </c>
      <c r="P10" s="29">
        <f t="shared" si="1"/>
        <v>-0.21975287651345973</v>
      </c>
    </row>
    <row r="11" spans="1:17" ht="18" customHeight="1">
      <c r="A11" s="185"/>
      <c r="B11" s="30" t="s">
        <v>197</v>
      </c>
      <c r="C11" s="31"/>
      <c r="D11" s="31">
        <v>649.52197265625</v>
      </c>
      <c r="E11" s="31">
        <v>456.7005615234375</v>
      </c>
      <c r="F11" s="31">
        <v>467.90087890625</v>
      </c>
      <c r="G11" s="31">
        <v>590.63916015625</v>
      </c>
      <c r="H11" s="31">
        <v>589.60137939453125</v>
      </c>
      <c r="I11" s="31">
        <v>382.3648681640625</v>
      </c>
      <c r="J11" s="31">
        <v>334.85858154296875</v>
      </c>
      <c r="K11" s="31">
        <v>318.34005737304688</v>
      </c>
      <c r="L11" s="31">
        <v>302.69644165039063</v>
      </c>
      <c r="M11" s="31">
        <v>393.68798828125</v>
      </c>
      <c r="N11" s="31">
        <v>383.95700073242188</v>
      </c>
      <c r="O11" s="34">
        <f t="shared" si="0"/>
        <v>-0.40886218342666369</v>
      </c>
      <c r="P11" s="34">
        <f t="shared" si="1"/>
        <v>0.14662434202288127</v>
      </c>
    </row>
    <row r="12" spans="1:17" ht="18" customHeight="1">
      <c r="A12" s="186" t="s">
        <v>198</v>
      </c>
      <c r="B12" s="35" t="s">
        <v>199</v>
      </c>
      <c r="C12" s="36"/>
      <c r="D12" s="36">
        <v>22.542413711547852</v>
      </c>
      <c r="E12" s="36">
        <v>22.358959197998047</v>
      </c>
      <c r="F12" s="36">
        <v>22.184123992919922</v>
      </c>
      <c r="G12" s="36">
        <v>22.185869216918945</v>
      </c>
      <c r="H12" s="36">
        <v>22.060989379882813</v>
      </c>
      <c r="I12" s="36">
        <v>21.480682373046875</v>
      </c>
      <c r="J12" s="36">
        <v>21.669382095336914</v>
      </c>
      <c r="K12" s="36">
        <v>22.073158264160156</v>
      </c>
      <c r="L12" s="36">
        <v>22.575508117675781</v>
      </c>
      <c r="M12" s="36">
        <v>22.284919738769531</v>
      </c>
      <c r="N12" s="36">
        <v>22.347030639648438</v>
      </c>
      <c r="O12" s="29">
        <f t="shared" si="0"/>
        <v>-8.6673536560694358E-3</v>
      </c>
      <c r="P12" s="29">
        <f t="shared" si="1"/>
        <v>3.127216739868869E-2</v>
      </c>
    </row>
    <row r="13" spans="1:17" ht="18" customHeight="1">
      <c r="A13" s="187"/>
      <c r="B13" s="37" t="s">
        <v>190</v>
      </c>
      <c r="C13" s="31"/>
      <c r="D13" s="31">
        <v>388.01150512695313</v>
      </c>
      <c r="E13" s="31">
        <v>385.48959350585938</v>
      </c>
      <c r="F13" s="31">
        <v>373.62887573242188</v>
      </c>
      <c r="G13" s="31">
        <v>376.54348754882813</v>
      </c>
      <c r="H13" s="31">
        <v>372.12088012695313</v>
      </c>
      <c r="I13" s="31">
        <v>354.25</v>
      </c>
      <c r="J13" s="31">
        <v>362.41973876953125</v>
      </c>
      <c r="K13" s="31">
        <v>378.618408203125</v>
      </c>
      <c r="L13" s="31">
        <v>396.59420776367188</v>
      </c>
      <c r="M13" s="31">
        <v>384.20635986328125</v>
      </c>
      <c r="N13" s="31">
        <v>388.140625</v>
      </c>
      <c r="O13" s="29">
        <f t="shared" si="0"/>
        <v>3.3277331043219554E-4</v>
      </c>
      <c r="P13" s="29">
        <f t="shared" si="1"/>
        <v>7.0969882373942916E-2</v>
      </c>
    </row>
    <row r="14" spans="1:17" ht="18" customHeight="1">
      <c r="A14" s="187"/>
      <c r="B14" s="37" t="s">
        <v>191</v>
      </c>
      <c r="C14" s="31"/>
      <c r="D14" s="31">
        <v>121.95402526855469</v>
      </c>
      <c r="E14" s="31">
        <v>119.85416412353516</v>
      </c>
      <c r="F14" s="31">
        <v>117.80412292480469</v>
      </c>
      <c r="G14" s="31">
        <v>118.5</v>
      </c>
      <c r="H14" s="31">
        <v>118.69230651855469</v>
      </c>
      <c r="I14" s="31">
        <v>117.01136016845703</v>
      </c>
      <c r="J14" s="31">
        <v>121.34568023681641</v>
      </c>
      <c r="K14" s="31">
        <v>128.21052551269531</v>
      </c>
      <c r="L14" s="31">
        <v>137.4202880859375</v>
      </c>
      <c r="M14" s="31">
        <v>137.93650817871094</v>
      </c>
      <c r="N14" s="31">
        <v>138.5625</v>
      </c>
      <c r="O14" s="29">
        <f t="shared" si="0"/>
        <v>0.13618635953074798</v>
      </c>
      <c r="P14" s="29">
        <f t="shared" si="1"/>
        <v>0.14188242819673108</v>
      </c>
    </row>
    <row r="15" spans="1:17" ht="18" customHeight="1">
      <c r="A15" s="187"/>
      <c r="B15" s="37" t="s">
        <v>192</v>
      </c>
      <c r="C15" s="31"/>
      <c r="D15" s="31">
        <v>323.083740234375</v>
      </c>
      <c r="E15" s="31">
        <v>319.32089233398438</v>
      </c>
      <c r="F15" s="31">
        <v>311.47555541992188</v>
      </c>
      <c r="G15" s="31">
        <v>313.5096435546875</v>
      </c>
      <c r="H15" s="31">
        <v>310.51962280273438</v>
      </c>
      <c r="I15" s="31">
        <v>298.61099243164063</v>
      </c>
      <c r="J15" s="31">
        <v>304.7806396484375</v>
      </c>
      <c r="K15" s="31">
        <v>316.81695556640625</v>
      </c>
      <c r="L15" s="31">
        <v>332.27407836914063</v>
      </c>
      <c r="M15" s="31">
        <v>325.07586669921875</v>
      </c>
      <c r="N15" s="31">
        <v>327.43499755859375</v>
      </c>
      <c r="O15" s="29">
        <f t="shared" si="0"/>
        <v>1.346789324978785E-2</v>
      </c>
      <c r="P15" s="29">
        <f t="shared" si="1"/>
        <v>7.4330042539079599E-2</v>
      </c>
    </row>
    <row r="16" spans="1:17" ht="18" customHeight="1">
      <c r="A16" s="187"/>
      <c r="B16" s="37" t="s">
        <v>193</v>
      </c>
      <c r="C16" s="33"/>
      <c r="D16" s="33">
        <v>556.295654296875</v>
      </c>
      <c r="E16" s="33">
        <v>373.4398193359375</v>
      </c>
      <c r="F16" s="33">
        <v>279.68380737304688</v>
      </c>
      <c r="G16" s="33">
        <v>305.9970703125</v>
      </c>
      <c r="H16" s="33">
        <v>289.97418212890625</v>
      </c>
      <c r="I16" s="33">
        <v>226.77995300292969</v>
      </c>
      <c r="J16" s="33">
        <v>217.42959594726563</v>
      </c>
      <c r="K16" s="33">
        <v>245.40766906738281</v>
      </c>
      <c r="L16" s="33">
        <v>242.43669128417969</v>
      </c>
      <c r="M16" s="33">
        <v>340.61795043945313</v>
      </c>
      <c r="N16" s="33">
        <v>339.543701171875</v>
      </c>
      <c r="O16" s="29">
        <f t="shared" si="0"/>
        <v>-0.38963445328179264</v>
      </c>
      <c r="P16" s="29">
        <f t="shared" si="1"/>
        <v>0.56162595847451402</v>
      </c>
    </row>
    <row r="17" spans="1:16" ht="18" customHeight="1">
      <c r="A17" s="187"/>
      <c r="B17" s="37" t="s">
        <v>200</v>
      </c>
      <c r="C17" s="33"/>
      <c r="D17" s="33">
        <f ca="1">663.629625*OFFSET(D$113,MATCH($N$1,$C$113:$C$114,0)-1,0)</f>
        <v>663.62962500000003</v>
      </c>
      <c r="E17" s="33">
        <f ca="1">542.3518125*OFFSET(E$113,MATCH($N$1,$C$113:$C$114,0)-1,0)</f>
        <v>542.35181250000005</v>
      </c>
      <c r="F17" s="33">
        <f ca="1">495.66771875*OFFSET(F$113,MATCH($N$1,$C$113:$C$114,0)-1,0)</f>
        <v>495.66771875000001</v>
      </c>
      <c r="G17" s="33">
        <f ca="1">535.5556875*OFFSET(G$113,MATCH($N$1,$C$113:$C$114,0)-1,0)</f>
        <v>535.55568749999998</v>
      </c>
      <c r="H17" s="33">
        <f ca="1">612.7356875*OFFSET(H$113,MATCH($N$1,$C$113:$C$114,0)-1,0)</f>
        <v>612.73568750000004</v>
      </c>
      <c r="I17" s="33">
        <f ca="1">576.5715625*OFFSET(I$113,MATCH($N$1,$C$113:$C$114,0)-1,0)</f>
        <v>576.57156250000003</v>
      </c>
      <c r="J17" s="33">
        <f ca="1">579.8081875*OFFSET(J$113,MATCH($N$1,$C$113:$C$114,0)-1,0)</f>
        <v>579.80818750000003</v>
      </c>
      <c r="K17" s="33">
        <f ca="1">551.1613125*OFFSET(K$113,MATCH($N$1,$C$113:$C$114,0)-1,0)</f>
        <v>551.16131250000001</v>
      </c>
      <c r="L17" s="33">
        <f ca="1">414.7533125*OFFSET(L$113,MATCH($N$1,$C$113:$C$114,0)-1,0)</f>
        <v>414.75331249999999</v>
      </c>
      <c r="M17" s="33">
        <f ca="1">587.341875*OFFSET(M$113,MATCH($N$1,$C$113:$C$114,0)-1,0)</f>
        <v>587.34187499999996</v>
      </c>
      <c r="N17" s="33">
        <v>623.00099999999998</v>
      </c>
      <c r="O17" s="29">
        <f t="shared" ca="1" si="0"/>
        <v>-6.1221837406671011E-2</v>
      </c>
      <c r="P17" s="29">
        <f t="shared" ca="1" si="1"/>
        <v>7.4495002711564756E-2</v>
      </c>
    </row>
    <row r="18" spans="1:16" ht="18" customHeight="1">
      <c r="A18" s="187"/>
      <c r="B18" s="37" t="s">
        <v>195</v>
      </c>
      <c r="C18" s="31"/>
      <c r="D18" s="31">
        <v>171.80459594726563</v>
      </c>
      <c r="E18" s="31">
        <v>167.95832824707031</v>
      </c>
      <c r="F18" s="31">
        <v>170.62886047363281</v>
      </c>
      <c r="G18" s="31">
        <v>173.40217590332031</v>
      </c>
      <c r="H18" s="31">
        <v>183.41758728027344</v>
      </c>
      <c r="I18" s="31">
        <v>171.67045593261719</v>
      </c>
      <c r="J18" s="31">
        <v>173.543212890625</v>
      </c>
      <c r="K18" s="31">
        <v>170.19737243652344</v>
      </c>
      <c r="L18" s="31">
        <v>134.94203186035156</v>
      </c>
      <c r="M18" s="31">
        <v>172.84126281738281</v>
      </c>
      <c r="N18" s="31">
        <v>167.671875</v>
      </c>
      <c r="O18" s="29">
        <f t="shared" si="0"/>
        <v>-2.4054775278154601E-2</v>
      </c>
      <c r="P18" s="29">
        <f t="shared" si="1"/>
        <v>-3.3832137787637884E-2</v>
      </c>
    </row>
    <row r="19" spans="1:16" ht="18" customHeight="1">
      <c r="A19" s="187"/>
      <c r="B19" s="37" t="s">
        <v>201</v>
      </c>
      <c r="C19" s="31"/>
      <c r="D19" s="31">
        <v>34.149425506591797</v>
      </c>
      <c r="E19" s="31">
        <v>34.927082061767578</v>
      </c>
      <c r="F19" s="31">
        <v>35.8865966796875</v>
      </c>
      <c r="G19" s="31">
        <v>35.771739959716797</v>
      </c>
      <c r="H19" s="31">
        <v>36.428569793701172</v>
      </c>
      <c r="I19" s="31">
        <v>36.613636016845703</v>
      </c>
      <c r="J19" s="31">
        <v>35.777778625488281</v>
      </c>
      <c r="K19" s="31">
        <v>35.302631378173828</v>
      </c>
      <c r="L19" s="31">
        <v>35.130435943603516</v>
      </c>
      <c r="M19" s="31">
        <v>34.587303161621094</v>
      </c>
      <c r="N19" s="31">
        <v>35.46875</v>
      </c>
      <c r="O19" s="29">
        <f t="shared" si="0"/>
        <v>3.8633870814416382E-2</v>
      </c>
      <c r="P19" s="29">
        <f t="shared" si="1"/>
        <v>-8.6374458493666123E-3</v>
      </c>
    </row>
    <row r="20" spans="1:16" ht="18" customHeight="1">
      <c r="A20" s="187"/>
      <c r="B20" s="37" t="s">
        <v>202</v>
      </c>
      <c r="C20" s="38"/>
      <c r="D20" s="38">
        <v>3.2379555702209473</v>
      </c>
      <c r="E20" s="38">
        <v>2.223407506942749</v>
      </c>
      <c r="F20" s="38">
        <v>1.6391353607177734</v>
      </c>
      <c r="G20" s="38">
        <v>1.7646667957305908</v>
      </c>
      <c r="H20" s="38">
        <v>1.5809508562088013</v>
      </c>
      <c r="I20" s="38">
        <v>1.3210190534591675</v>
      </c>
      <c r="J20" s="38">
        <v>1.2528845071792603</v>
      </c>
      <c r="K20" s="38">
        <v>1.4419004917144775</v>
      </c>
      <c r="L20" s="38">
        <v>1.7965987920761108</v>
      </c>
      <c r="M20" s="38">
        <v>1.9706981182098389</v>
      </c>
      <c r="N20" s="38">
        <v>2.0250487327575684</v>
      </c>
      <c r="O20" s="29">
        <f t="shared" si="0"/>
        <v>-0.37459032749501692</v>
      </c>
      <c r="P20" s="29">
        <f t="shared" si="1"/>
        <v>0.61630918185488293</v>
      </c>
    </row>
    <row r="21" spans="1:16" ht="18" customHeight="1">
      <c r="A21" s="188"/>
      <c r="B21" s="39" t="s">
        <v>203</v>
      </c>
      <c r="C21" s="40"/>
      <c r="D21" s="40">
        <f ca="1">1193*OFFSET(D$113,MATCH($N$1,$C$113:$C$114,0)-1,0)</f>
        <v>1193</v>
      </c>
      <c r="E21" s="40">
        <f ca="1">1452*OFFSET(E$113,MATCH($N$1,$C$113:$C$114,0)-1,0)</f>
        <v>1452</v>
      </c>
      <c r="F21" s="40">
        <f ca="1">1772*OFFSET(F$113,MATCH($N$1,$C$113:$C$114,0)-1,0)</f>
        <v>1772</v>
      </c>
      <c r="G21" s="40">
        <f ca="1">1750*OFFSET(G$113,MATCH($N$1,$C$113:$C$114,0)-1,0)</f>
        <v>1750</v>
      </c>
      <c r="H21" s="40">
        <f ca="1">2113*OFFSET(H$113,MATCH($N$1,$C$113:$C$114,0)-1,0)</f>
        <v>2113</v>
      </c>
      <c r="I21" s="40">
        <f ca="1">2542*OFFSET(I$113,MATCH($N$1,$C$113:$C$114,0)-1,0)</f>
        <v>2542</v>
      </c>
      <c r="J21" s="40">
        <f ca="1">2667*OFFSET(J$113,MATCH($N$1,$C$113:$C$114,0)-1,0)</f>
        <v>2667</v>
      </c>
      <c r="K21" s="40">
        <f ca="1">2246*OFFSET(K$113,MATCH($N$1,$C$113:$C$114,0)-1,0)</f>
        <v>2246</v>
      </c>
      <c r="L21" s="40">
        <f ca="1">1711*OFFSET(L$113,MATCH($N$1,$C$113:$C$114,0)-1,0)</f>
        <v>1711</v>
      </c>
      <c r="M21" s="40">
        <f ca="1">1724*OFFSET(M$113,MATCH($N$1,$C$113:$C$114,0)-1,0)</f>
        <v>1724</v>
      </c>
      <c r="N21" s="40">
        <v>1835</v>
      </c>
      <c r="O21" s="34">
        <f t="shared" ca="1" si="0"/>
        <v>0.53813914501257332</v>
      </c>
      <c r="P21" s="34">
        <f t="shared" ca="1" si="1"/>
        <v>-0.31196100487439071</v>
      </c>
    </row>
    <row r="22" spans="1:16" ht="18" customHeight="1">
      <c r="A22" s="189" t="s">
        <v>204</v>
      </c>
      <c r="B22" s="35" t="s">
        <v>205</v>
      </c>
      <c r="C22" s="41"/>
      <c r="D22" s="41">
        <v>7.7030880411259215</v>
      </c>
      <c r="E22" s="41">
        <v>5.2875592330166423</v>
      </c>
      <c r="F22" s="41">
        <v>4.0658175216277659</v>
      </c>
      <c r="G22" s="41">
        <v>4.2058223622219728</v>
      </c>
      <c r="H22" s="41">
        <v>3.8946911967839917</v>
      </c>
      <c r="I22" s="41">
        <v>3.3415645772300331</v>
      </c>
      <c r="J22" s="41">
        <v>3.1436624503306545</v>
      </c>
      <c r="K22" s="41">
        <v>3.4878966002781686</v>
      </c>
      <c r="L22" s="41">
        <v>4.1344751431872568</v>
      </c>
      <c r="M22" s="41">
        <v>4.5746036938013788</v>
      </c>
      <c r="N22" s="41">
        <v>4.7921588942669748</v>
      </c>
      <c r="O22" s="29">
        <f t="shared" si="0"/>
        <v>-0.3778911952346673</v>
      </c>
      <c r="P22" s="29">
        <f t="shared" si="1"/>
        <v>0.52438722985762332</v>
      </c>
    </row>
    <row r="23" spans="1:16" ht="18" customHeight="1">
      <c r="A23" s="189"/>
      <c r="B23" s="37" t="s">
        <v>206</v>
      </c>
      <c r="C23" s="38"/>
      <c r="D23" s="38">
        <f ca="1">9.18935351838339*OFFSET(D$113,MATCH($N$1,$C$113:$C$114,0)-1,0)</f>
        <v>9.1893535183833901</v>
      </c>
      <c r="E23" s="38">
        <f ca="1">7.67919537564888*OFFSET(E$113,MATCH($N$1,$C$113:$C$114,0)-1,0)</f>
        <v>7.67919537564888</v>
      </c>
      <c r="F23" s="38">
        <f ca="1">7.20561735313829*OFFSET(F$113,MATCH($N$1,$C$113:$C$114,0)-1,0)</f>
        <v>7.2056173531382903</v>
      </c>
      <c r="G23" s="38">
        <f ca="1">7.36102500720789*OFFSET(G$113,MATCH($N$1,$C$113:$C$114,0)-1,0)</f>
        <v>7.36102500720789</v>
      </c>
      <c r="H23" s="38">
        <f ca="1">8.22975435447825*OFFSET(H$113,MATCH($N$1,$C$113:$C$114,0)-1,0)</f>
        <v>8.2297543544782492</v>
      </c>
      <c r="I23" s="38">
        <f ca="1">8.4956852842424*OFFSET(I$113,MATCH($N$1,$C$113:$C$114,0)-1,0)</f>
        <v>8.4956852842424002</v>
      </c>
      <c r="J23" s="38">
        <f ca="1">8.38304104598575*OFFSET(J$113,MATCH($N$1,$C$113:$C$114,0)-1,0)</f>
        <v>8.3830410459857507</v>
      </c>
      <c r="K23" s="38">
        <f ca="1">7.83347022274908*OFFSET(K$113,MATCH($N$1,$C$113:$C$114,0)-1,0)</f>
        <v>7.8334702227490798</v>
      </c>
      <c r="L23" s="38">
        <f ca="1">7.07313423559219*OFFSET(L$113,MATCH($N$1,$C$113:$C$114,0)-1,0)</f>
        <v>7.0731342355921898</v>
      </c>
      <c r="M23" s="38">
        <f ca="1">7.88818178088601*OFFSET(M$113,MATCH($N$1,$C$113:$C$114,0)-1,0)</f>
        <v>7.8881817808860104</v>
      </c>
      <c r="N23" s="38">
        <v>8.792740884260926</v>
      </c>
      <c r="O23" s="29">
        <f t="shared" ca="1" si="0"/>
        <v>-4.3160014829012362E-2</v>
      </c>
      <c r="P23" s="29">
        <f t="shared" ca="1" si="1"/>
        <v>4.8872460009170726E-2</v>
      </c>
    </row>
    <row r="24" spans="1:16" ht="18" customHeight="1">
      <c r="A24" s="189"/>
      <c r="B24" s="37" t="s">
        <v>153</v>
      </c>
      <c r="C24" s="38"/>
      <c r="D24" s="38">
        <f ca="1">7.29232215521639*OFFSET(D$113,MATCH($N$1,$C$113:$C$114,0)-1,0)</f>
        <v>7.2923221552163904</v>
      </c>
      <c r="E24" s="38">
        <f ca="1">6.381982562999*OFFSET(E$113,MATCH($N$1,$C$113:$C$114,0)-1,0)</f>
        <v>6.3819825629990001</v>
      </c>
      <c r="F24" s="38">
        <f ca="1">6.13303262259709*OFFSET(F$113,MATCH($N$1,$C$113:$C$114,0)-1,0)</f>
        <v>6.1330326225970904</v>
      </c>
      <c r="G24" s="38">
        <f ca="1">6.06244533683249*OFFSET(G$113,MATCH($N$1,$C$113:$C$114,0)-1,0)</f>
        <v>6.0624453368324902</v>
      </c>
      <c r="H24" s="38">
        <f ca="1">7.18642480176439*OFFSET(H$113,MATCH($N$1,$C$113:$C$114,0)-1,0)</f>
        <v>7.1864248017643897</v>
      </c>
      <c r="I24" s="38">
        <f ca="1">7.11866970595606*OFFSET(I$113,MATCH($N$1,$C$113:$C$114,0)-1,0)</f>
        <v>7.1186697059560604</v>
      </c>
      <c r="J24" s="38">
        <f ca="1">8.30798523327451*OFFSET(J$113,MATCH($N$1,$C$113:$C$114,0)-1,0)</f>
        <v>8.3079852332745094</v>
      </c>
      <c r="K24" s="38">
        <f ca="1">6.8106589951225*OFFSET(K$113,MATCH($N$1,$C$113:$C$114,0)-1,0)</f>
        <v>6.8106589951225001</v>
      </c>
      <c r="L24" s="38">
        <f ca="1">6.43079787229436*OFFSET(L$113,MATCH($N$1,$C$113:$C$114,0)-1,0)</f>
        <v>6.4307978722943604</v>
      </c>
      <c r="M24" s="38">
        <f ca="1">6.63552632455617*OFFSET(M$113,MATCH($N$1,$C$113:$C$114,0)-1,0)</f>
        <v>6.63552632455617</v>
      </c>
      <c r="N24" s="38">
        <v>7.8632420751448224</v>
      </c>
      <c r="O24" s="29">
        <f t="shared" ca="1" si="0"/>
        <v>7.8290551044846252E-2</v>
      </c>
      <c r="P24" s="29">
        <f t="shared" ca="1" si="1"/>
        <v>-5.3532011148555679E-2</v>
      </c>
    </row>
    <row r="25" spans="1:16" ht="18" customHeight="1">
      <c r="A25" s="189"/>
      <c r="B25" s="37" t="s">
        <v>154</v>
      </c>
      <c r="C25" s="38"/>
      <c r="D25" s="38">
        <f ca="1">2.04924790170282*OFFSET(D$113,MATCH($N$1,$C$113:$C$114,0)-1,0)</f>
        <v>2.0492479017028198</v>
      </c>
      <c r="E25" s="38">
        <f ca="1">1.37384935461205*OFFSET(E$113,MATCH($N$1,$C$113:$C$114,0)-1,0)</f>
        <v>1.37384935461205</v>
      </c>
      <c r="F25" s="38">
        <f ca="1">1.13975523682507*OFFSET(F$113,MATCH($N$1,$C$113:$C$114,0)-1,0)</f>
        <v>1.1397552368250701</v>
      </c>
      <c r="G25" s="38">
        <f ca="1">1.41852005564435*OFFSET(G$113,MATCH($N$1,$C$113:$C$114,0)-1,0)</f>
        <v>1.41852005564435</v>
      </c>
      <c r="H25" s="38">
        <f ca="1">1.08022130783035*OFFSET(H$113,MATCH($N$1,$C$113:$C$114,0)-1,0)</f>
        <v>1.08022130783035</v>
      </c>
      <c r="I25" s="38">
        <f ca="1">1.70590702159654*OFFSET(I$113,MATCH($N$1,$C$113:$C$114,0)-1,0)</f>
        <v>1.70590702159654</v>
      </c>
      <c r="J25" s="38">
        <f ca="1">0.144934763131243*OFFSET(J$113,MATCH($N$1,$C$113:$C$114,0)-1,0)</f>
        <v>0.14493476313124301</v>
      </c>
      <c r="K25" s="38">
        <f ca="1">1.22452188544749*OFFSET(K$113,MATCH($N$1,$C$113:$C$114,0)-1,0)</f>
        <v>1.22452188544749</v>
      </c>
      <c r="L25" s="38">
        <f ca="1">1.06296102392819*OFFSET(L$113,MATCH($N$1,$C$113:$C$114,0)-1,0)</f>
        <v>1.0629610239281899</v>
      </c>
      <c r="M25" s="38">
        <f ca="1">1.33887183111641*OFFSET(M$113,MATCH($N$1,$C$113:$C$114,0)-1,0)</f>
        <v>1.3388718311164101</v>
      </c>
      <c r="N25" s="38">
        <v>1.0250924160305841</v>
      </c>
      <c r="O25" s="29">
        <f t="shared" ca="1" si="0"/>
        <v>-0.49977139653099806</v>
      </c>
      <c r="P25" s="29">
        <f t="shared" ca="1" si="1"/>
        <v>6.0727849819047934</v>
      </c>
    </row>
    <row r="26" spans="1:16" ht="18" customHeight="1">
      <c r="A26" s="189"/>
      <c r="B26" s="37" t="s">
        <v>207</v>
      </c>
      <c r="C26" s="33"/>
      <c r="D26" s="33">
        <f ca="1">88.89*OFFSET(D$113,MATCH($N$1,$C$113:$C$114,0)-1,0)</f>
        <v>88.89</v>
      </c>
      <c r="E26" s="33">
        <f ca="1">114.01*OFFSET(E$113,MATCH($N$1,$C$113:$C$114,0)-1,0)</f>
        <v>114.01</v>
      </c>
      <c r="F26" s="33">
        <f ca="1">102.76*OFFSET(F$113,MATCH($N$1,$C$113:$C$114,0)-1,0)</f>
        <v>102.76</v>
      </c>
      <c r="G26" s="33">
        <f ca="1">83.43*OFFSET(G$113,MATCH($N$1,$C$113:$C$114,0)-1,0)</f>
        <v>83.43</v>
      </c>
      <c r="H26" s="33">
        <f ca="1">94.57*OFFSET(H$113,MATCH($N$1,$C$113:$C$114,0)-1,0)</f>
        <v>94.57</v>
      </c>
      <c r="I26" s="33">
        <f ca="1">132.7*OFFSET(I$113,MATCH($N$1,$C$113:$C$114,0)-1,0)</f>
        <v>132.69999999999999</v>
      </c>
      <c r="J26" s="33">
        <f ca="1">140.25*OFFSET(J$113,MATCH($N$1,$C$113:$C$114,0)-1,0)</f>
        <v>140.25</v>
      </c>
      <c r="K26" s="33">
        <f ca="1">131.59*OFFSET(K$113,MATCH($N$1,$C$113:$C$114,0)-1,0)</f>
        <v>131.59</v>
      </c>
      <c r="L26" s="33">
        <f ca="1">94.55*OFFSET(L$113,MATCH($N$1,$C$113:$C$114,0)-1,0)</f>
        <v>94.55</v>
      </c>
      <c r="M26" s="33">
        <f ca="1">93.98*OFFSET(M$113,MATCH($N$1,$C$113:$C$114,0)-1,0)</f>
        <v>93.98</v>
      </c>
      <c r="N26" s="33">
        <v>103.84</v>
      </c>
      <c r="O26" s="29">
        <f t="shared" ca="1" si="0"/>
        <v>0.16818539768252899</v>
      </c>
      <c r="P26" s="29">
        <f t="shared" ca="1" si="1"/>
        <v>-0.25960784313725488</v>
      </c>
    </row>
    <row r="27" spans="1:16" ht="18" customHeight="1">
      <c r="A27" s="190"/>
      <c r="B27" s="37" t="s">
        <v>208</v>
      </c>
      <c r="C27" s="33"/>
      <c r="D27" s="33">
        <f ca="1">19.82*OFFSET(D$113,MATCH($N$1,$C$113:$C$114,0)-1,0)</f>
        <v>19.82</v>
      </c>
      <c r="E27" s="33">
        <f ca="1">20.39*OFFSET(E$113,MATCH($N$1,$C$113:$C$114,0)-1,0)</f>
        <v>20.39</v>
      </c>
      <c r="F27" s="33">
        <f ca="1">16.25*OFFSET(F$113,MATCH($N$1,$C$113:$C$114,0)-1,0)</f>
        <v>16.25</v>
      </c>
      <c r="G27" s="33">
        <f ca="1">16.07*OFFSET(G$113,MATCH($N$1,$C$113:$C$114,0)-1,0)</f>
        <v>16.07</v>
      </c>
      <c r="H27" s="33">
        <f ca="1">12.41*OFFSET(H$113,MATCH($N$1,$C$113:$C$114,0)-1,0)</f>
        <v>12.41</v>
      </c>
      <c r="I27" s="33">
        <f ca="1">26.65*OFFSET(I$113,MATCH($N$1,$C$113:$C$114,0)-1,0)</f>
        <v>26.65</v>
      </c>
      <c r="J27" s="33">
        <f ca="1">2.42*OFFSET(J$113,MATCH($N$1,$C$113:$C$114,0)-1,0)</f>
        <v>2.42</v>
      </c>
      <c r="K27" s="33">
        <f ca="1">20.58*OFFSET(K$113,MATCH($N$1,$C$113:$C$114,0)-1,0)</f>
        <v>20.58</v>
      </c>
      <c r="L27" s="33">
        <f ca="1">14.2*OFFSET(L$113,MATCH($N$1,$C$113:$C$114,0)-1,0)</f>
        <v>14.2</v>
      </c>
      <c r="M27" s="33">
        <f ca="1">15.95*OFFSET(M$113,MATCH($N$1,$C$113:$C$114,0)-1,0)</f>
        <v>15.95</v>
      </c>
      <c r="N27" s="33">
        <v>12.1</v>
      </c>
      <c r="O27" s="34">
        <f t="shared" ca="1" si="0"/>
        <v>-0.38950554994954595</v>
      </c>
      <c r="P27" s="34">
        <f t="shared" ca="1" si="1"/>
        <v>4</v>
      </c>
    </row>
    <row r="28" spans="1:16" s="78" customFormat="1" ht="18" customHeight="1">
      <c r="A28" s="191" t="s">
        <v>209</v>
      </c>
      <c r="B28" s="82" t="s">
        <v>200</v>
      </c>
      <c r="C28" s="83"/>
      <c r="D28" s="83">
        <f ca="1">663.6*OFFSET(D$113,MATCH($N$1,$C$113:$C$114,0)-1,0)</f>
        <v>663.6</v>
      </c>
      <c r="E28" s="83">
        <f ca="1">542.4*OFFSET(E$113,MATCH($N$1,$C$113:$C$114,0)-1,0)</f>
        <v>542.4</v>
      </c>
      <c r="F28" s="83">
        <f ca="1">495.7*OFFSET(F$113,MATCH($N$1,$C$113:$C$114,0)-1,0)</f>
        <v>495.7</v>
      </c>
      <c r="G28" s="83">
        <f ca="1">535.6*OFFSET(G$113,MATCH($N$1,$C$113:$C$114,0)-1,0)</f>
        <v>535.6</v>
      </c>
      <c r="H28" s="83">
        <f ca="1">612.7*OFFSET(H$113,MATCH($N$1,$C$113:$C$114,0)-1,0)</f>
        <v>612.70000000000005</v>
      </c>
      <c r="I28" s="83">
        <f ca="1">576.6*OFFSET(I$113,MATCH($N$1,$C$113:$C$114,0)-1,0)</f>
        <v>576.6</v>
      </c>
      <c r="J28" s="83">
        <f ca="1">579.8*OFFSET(J$113,MATCH($N$1,$C$113:$C$114,0)-1,0)</f>
        <v>579.79999999999995</v>
      </c>
      <c r="K28" s="83">
        <f ca="1">551.2*OFFSET(K$113,MATCH($N$1,$C$113:$C$114,0)-1,0)</f>
        <v>551.20000000000005</v>
      </c>
      <c r="L28" s="83">
        <f ca="1">414.8*OFFSET(L$113,MATCH($N$1,$C$113:$C$114,0)-1,0)</f>
        <v>414.8</v>
      </c>
      <c r="M28" s="83">
        <f ca="1">587.3*OFFSET(M$113,MATCH($N$1,$C$113:$C$114,0)-1,0)</f>
        <v>587.29999999999995</v>
      </c>
      <c r="N28" s="83">
        <v>623</v>
      </c>
      <c r="O28" s="84">
        <f t="shared" ca="1" si="0"/>
        <v>-6.1181434599156148E-2</v>
      </c>
      <c r="P28" s="84">
        <f t="shared" ca="1" si="1"/>
        <v>7.4508451190065619E-2</v>
      </c>
    </row>
    <row r="29" spans="1:16" s="78" customFormat="1" ht="18" customHeight="1">
      <c r="A29" s="192"/>
      <c r="B29" s="85" t="s">
        <v>210</v>
      </c>
      <c r="C29" s="86"/>
      <c r="D29" s="86">
        <f ca="1">11*OFFSET(D$113,MATCH($N$1,$C$113:$C$114,0)-1,0)</f>
        <v>11</v>
      </c>
      <c r="E29" s="86">
        <f ca="1">5.4*OFFSET(E$113,MATCH($N$1,$C$113:$C$114,0)-1,0)</f>
        <v>5.4</v>
      </c>
      <c r="F29" s="86">
        <f ca="1">4.6*OFFSET(F$113,MATCH($N$1,$C$113:$C$114,0)-1,0)</f>
        <v>4.5999999999999996</v>
      </c>
      <c r="G29" s="86">
        <f ca="1">8.7*OFFSET(G$113,MATCH($N$1,$C$113:$C$114,0)-1,0)</f>
        <v>8.6999999999999993</v>
      </c>
      <c r="H29" s="86">
        <f ca="1">2.7*OFFSET(H$113,MATCH($N$1,$C$113:$C$114,0)-1,0)</f>
        <v>2.7</v>
      </c>
      <c r="I29" s="86">
        <f ca="1">22.3*OFFSET(I$113,MATCH($N$1,$C$113:$C$114,0)-1,0)</f>
        <v>22.3</v>
      </c>
      <c r="J29" s="86">
        <f ca="1">4.8*OFFSET(J$113,MATCH($N$1,$C$113:$C$114,0)-1,0)</f>
        <v>4.8</v>
      </c>
      <c r="K29" s="86">
        <f ca="1">14.2*OFFSET(K$113,MATCH($N$1,$C$113:$C$114,0)-1,0)</f>
        <v>14.2</v>
      </c>
      <c r="L29" s="86">
        <f ca="1">24.7*OFFSET(L$113,MATCH($N$1,$C$113:$C$114,0)-1,0)</f>
        <v>24.7</v>
      </c>
      <c r="M29" s="86">
        <f ca="1">6.4*OFFSET(M$113,MATCH($N$1,$C$113:$C$114,0)-1,0)</f>
        <v>6.4</v>
      </c>
      <c r="N29" s="86">
        <v>6.8</v>
      </c>
      <c r="O29" s="84">
        <f t="shared" ca="1" si="0"/>
        <v>-0.38181818181818183</v>
      </c>
      <c r="P29" s="84">
        <f t="shared" ca="1" si="1"/>
        <v>0.41666666666666669</v>
      </c>
    </row>
    <row r="30" spans="1:16" s="78" customFormat="1" ht="18" customHeight="1">
      <c r="A30" s="192"/>
      <c r="B30" s="87" t="s">
        <v>211</v>
      </c>
      <c r="C30" s="88"/>
      <c r="D30" s="88">
        <f ca="1">674.6*OFFSET(D$113,MATCH($N$1,$C$113:$C$114,0)-1,0)</f>
        <v>674.6</v>
      </c>
      <c r="E30" s="88">
        <f ca="1">547.8*OFFSET(E$113,MATCH($N$1,$C$113:$C$114,0)-1,0)</f>
        <v>547.79999999999995</v>
      </c>
      <c r="F30" s="88">
        <f ca="1">500.3*OFFSET(F$113,MATCH($N$1,$C$113:$C$114,0)-1,0)</f>
        <v>500.3</v>
      </c>
      <c r="G30" s="88">
        <f ca="1">544.3*OFFSET(G$113,MATCH($N$1,$C$113:$C$114,0)-1,0)</f>
        <v>544.29999999999995</v>
      </c>
      <c r="H30" s="88">
        <f ca="1">615.5*OFFSET(H$113,MATCH($N$1,$C$113:$C$114,0)-1,0)</f>
        <v>615.5</v>
      </c>
      <c r="I30" s="88">
        <f ca="1">598.9*OFFSET(I$113,MATCH($N$1,$C$113:$C$114,0)-1,0)</f>
        <v>598.9</v>
      </c>
      <c r="J30" s="88">
        <f ca="1">584.6*OFFSET(J$113,MATCH($N$1,$C$113:$C$114,0)-1,0)</f>
        <v>584.6</v>
      </c>
      <c r="K30" s="88">
        <f ca="1">565.4*OFFSET(K$113,MATCH($N$1,$C$113:$C$114,0)-1,0)</f>
        <v>565.4</v>
      </c>
      <c r="L30" s="88">
        <f ca="1">439.4*OFFSET(L$113,MATCH($N$1,$C$113:$C$114,0)-1,0)</f>
        <v>439.4</v>
      </c>
      <c r="M30" s="88">
        <f ca="1">593.8*OFFSET(M$113,MATCH($N$1,$C$113:$C$114,0)-1,0)</f>
        <v>593.79999999999995</v>
      </c>
      <c r="N30" s="88">
        <v>629.80000000000007</v>
      </c>
      <c r="O30" s="84">
        <f t="shared" ca="1" si="0"/>
        <v>-6.6409724281055377E-2</v>
      </c>
      <c r="P30" s="84">
        <f t="shared" ca="1" si="1"/>
        <v>7.7317824153267267E-2</v>
      </c>
    </row>
    <row r="31" spans="1:16" s="78" customFormat="1" ht="18" customHeight="1">
      <c r="A31" s="192"/>
      <c r="B31" s="85" t="s">
        <v>212</v>
      </c>
      <c r="C31" s="86"/>
      <c r="D31" s="86">
        <f ca="1">132.8*OFFSET(D$113,MATCH($N$1,$C$113:$C$114,0)-1,0)</f>
        <v>132.80000000000001</v>
      </c>
      <c r="E31" s="86">
        <f ca="1">122.7*OFFSET(E$113,MATCH($N$1,$C$113:$C$114,0)-1,0)</f>
        <v>122.7</v>
      </c>
      <c r="F31" s="86">
        <f ca="1">111*OFFSET(F$113,MATCH($N$1,$C$113:$C$114,0)-1,0)</f>
        <v>111</v>
      </c>
      <c r="G31" s="86">
        <f ca="1">80.7*OFFSET(G$113,MATCH($N$1,$C$113:$C$114,0)-1,0)</f>
        <v>80.7</v>
      </c>
      <c r="H31" s="86">
        <f ca="1">78.7*OFFSET(H$113,MATCH($N$1,$C$113:$C$114,0)-1,0)</f>
        <v>78.7</v>
      </c>
      <c r="I31" s="86">
        <f ca="1">89*OFFSET(I$113,MATCH($N$1,$C$113:$C$114,0)-1,0)</f>
        <v>89</v>
      </c>
      <c r="J31" s="86">
        <f ca="1">107.6*OFFSET(J$113,MATCH($N$1,$C$113:$C$114,0)-1,0)</f>
        <v>107.6</v>
      </c>
      <c r="K31" s="86">
        <f ca="1">103.1*OFFSET(K$113,MATCH($N$1,$C$113:$C$114,0)-1,0)</f>
        <v>103.1</v>
      </c>
      <c r="L31" s="86">
        <f ca="1">60.2*OFFSET(L$113,MATCH($N$1,$C$113:$C$114,0)-1,0)</f>
        <v>60.2</v>
      </c>
      <c r="M31" s="86">
        <f ca="1">93.9*OFFSET(M$113,MATCH($N$1,$C$113:$C$114,0)-1,0)</f>
        <v>93.9</v>
      </c>
      <c r="N31" s="86">
        <v>155</v>
      </c>
      <c r="O31" s="84">
        <f t="shared" ca="1" si="0"/>
        <v>0.16716867469879509</v>
      </c>
      <c r="P31" s="84">
        <f t="shared" ca="1" si="1"/>
        <v>0.44052044609665436</v>
      </c>
    </row>
    <row r="32" spans="1:16" s="78" customFormat="1" ht="18" customHeight="1">
      <c r="A32" s="192"/>
      <c r="B32" s="85" t="s">
        <v>213</v>
      </c>
      <c r="C32" s="86"/>
      <c r="D32" s="86">
        <f ca="1">163.8*OFFSET(D$113,MATCH($N$1,$C$113:$C$114,0)-1,0)</f>
        <v>163.80000000000001</v>
      </c>
      <c r="E32" s="86">
        <f ca="1">131.1*OFFSET(E$113,MATCH($N$1,$C$113:$C$114,0)-1,0)</f>
        <v>131.1</v>
      </c>
      <c r="F32" s="86">
        <f ca="1">119.7*OFFSET(F$113,MATCH($N$1,$C$113:$C$114,0)-1,0)</f>
        <v>119.7</v>
      </c>
      <c r="G32" s="86">
        <f ca="1">155.9*OFFSET(G$113,MATCH($N$1,$C$113:$C$114,0)-1,0)</f>
        <v>155.9</v>
      </c>
      <c r="H32" s="86">
        <f ca="1">185.7*OFFSET(H$113,MATCH($N$1,$C$113:$C$114,0)-1,0)</f>
        <v>185.7</v>
      </c>
      <c r="I32" s="86">
        <f ca="1">185.2*OFFSET(I$113,MATCH($N$1,$C$113:$C$114,0)-1,0)</f>
        <v>185.2</v>
      </c>
      <c r="J32" s="86">
        <f ca="1">171.5*OFFSET(J$113,MATCH($N$1,$C$113:$C$114,0)-1,0)</f>
        <v>171.5</v>
      </c>
      <c r="K32" s="86">
        <f ca="1">161.5*OFFSET(K$113,MATCH($N$1,$C$113:$C$114,0)-1,0)</f>
        <v>161.5</v>
      </c>
      <c r="L32" s="86">
        <f ca="1">132.5*OFFSET(L$113,MATCH($N$1,$C$113:$C$114,0)-1,0)</f>
        <v>132.5</v>
      </c>
      <c r="M32" s="86">
        <f ca="1">175.2*OFFSET(M$113,MATCH($N$1,$C$113:$C$114,0)-1,0)</f>
        <v>175.2</v>
      </c>
      <c r="N32" s="86">
        <v>163.5</v>
      </c>
      <c r="O32" s="84">
        <f t="shared" ca="1" si="0"/>
        <v>-1.8315018315019007E-3</v>
      </c>
      <c r="P32" s="84">
        <f t="shared" ca="1" si="1"/>
        <v>-4.6647230320699708E-2</v>
      </c>
    </row>
    <row r="33" spans="1:16" s="78" customFormat="1" ht="18" customHeight="1">
      <c r="A33" s="192"/>
      <c r="B33" s="85" t="s">
        <v>214</v>
      </c>
      <c r="C33" s="86"/>
      <c r="D33" s="86">
        <f ca="1">54.7*OFFSET(D$113,MATCH($N$1,$C$113:$C$114,0)-1,0)</f>
        <v>54.7</v>
      </c>
      <c r="E33" s="86">
        <f ca="1">49.1*OFFSET(E$113,MATCH($N$1,$C$113:$C$114,0)-1,0)</f>
        <v>49.1</v>
      </c>
      <c r="F33" s="86">
        <f ca="1">50.6*OFFSET(F$113,MATCH($N$1,$C$113:$C$114,0)-1,0)</f>
        <v>50.6</v>
      </c>
      <c r="G33" s="86">
        <f ca="1">43.7*OFFSET(G$113,MATCH($N$1,$C$113:$C$114,0)-1,0)</f>
        <v>43.7</v>
      </c>
      <c r="H33" s="86">
        <f ca="1">69.2*OFFSET(H$113,MATCH($N$1,$C$113:$C$114,0)-1,0)</f>
        <v>69.2</v>
      </c>
      <c r="I33" s="86">
        <f ca="1">49*OFFSET(I$113,MATCH($N$1,$C$113:$C$114,0)-1,0)</f>
        <v>49</v>
      </c>
      <c r="J33" s="86">
        <f ca="1">127.9*OFFSET(J$113,MATCH($N$1,$C$113:$C$114,0)-1,0)</f>
        <v>127.9</v>
      </c>
      <c r="K33" s="86">
        <f ca="1">59*OFFSET(K$113,MATCH($N$1,$C$113:$C$114,0)-1,0)</f>
        <v>59</v>
      </c>
      <c r="L33" s="86">
        <f ca="1">44.3*OFFSET(L$113,MATCH($N$1,$C$113:$C$114,0)-1,0)</f>
        <v>44.3</v>
      </c>
      <c r="M33" s="86">
        <f ca="1">58.9*OFFSET(M$113,MATCH($N$1,$C$113:$C$114,0)-1,0)</f>
        <v>58.9</v>
      </c>
      <c r="N33" s="86">
        <v>62.5</v>
      </c>
      <c r="O33" s="84">
        <f t="shared" ca="1" si="0"/>
        <v>0.14259597806215715</v>
      </c>
      <c r="P33" s="84">
        <f t="shared" ca="1" si="1"/>
        <v>-0.51133698201720101</v>
      </c>
    </row>
    <row r="34" spans="1:16" s="78" customFormat="1" ht="18" customHeight="1">
      <c r="A34" s="192"/>
      <c r="B34" s="85" t="s">
        <v>215</v>
      </c>
      <c r="C34" s="86"/>
      <c r="D34" s="86">
        <f ca="1">351.3*OFFSET(D$113,MATCH($N$1,$C$113:$C$114,0)-1,0)</f>
        <v>351.3</v>
      </c>
      <c r="E34" s="86">
        <f ca="1">302.9*OFFSET(E$113,MATCH($N$1,$C$113:$C$114,0)-1,0)</f>
        <v>302.89999999999998</v>
      </c>
      <c r="F34" s="86">
        <f ca="1">281.2*OFFSET(F$113,MATCH($N$1,$C$113:$C$114,0)-1,0)</f>
        <v>281.2</v>
      </c>
      <c r="G34" s="86">
        <f ca="1">280.3*OFFSET(G$113,MATCH($N$1,$C$113:$C$114,0)-1,0)</f>
        <v>280.3</v>
      </c>
      <c r="H34" s="86">
        <f ca="1">333.6*OFFSET(H$113,MATCH($N$1,$C$113:$C$114,0)-1,0)</f>
        <v>333.6</v>
      </c>
      <c r="I34" s="86">
        <f ca="1">323.1*OFFSET(I$113,MATCH($N$1,$C$113:$C$114,0)-1,0)</f>
        <v>323.10000000000002</v>
      </c>
      <c r="J34" s="86">
        <f ca="1">407*OFFSET(J$113,MATCH($N$1,$C$113:$C$114,0)-1,0)</f>
        <v>407</v>
      </c>
      <c r="K34" s="86">
        <f ca="1">323.6*OFFSET(K$113,MATCH($N$1,$C$113:$C$114,0)-1,0)</f>
        <v>323.60000000000002</v>
      </c>
      <c r="L34" s="86">
        <f ca="1">237*OFFSET(L$113,MATCH($N$1,$C$113:$C$114,0)-1,0)</f>
        <v>237</v>
      </c>
      <c r="M34" s="86">
        <f ca="1">328*OFFSET(M$113,MATCH($N$1,$C$113:$C$114,0)-1,0)</f>
        <v>328</v>
      </c>
      <c r="N34" s="86">
        <v>381</v>
      </c>
      <c r="O34" s="84">
        <f t="shared" ca="1" si="0"/>
        <v>8.4543125533731819E-2</v>
      </c>
      <c r="P34" s="84">
        <f t="shared" ca="1" si="1"/>
        <v>-6.3882063882063883E-2</v>
      </c>
    </row>
    <row r="35" spans="1:16" s="78" customFormat="1" ht="18" customHeight="1">
      <c r="A35" s="192"/>
      <c r="B35" s="85" t="s">
        <v>216</v>
      </c>
      <c r="C35" s="86"/>
      <c r="D35" s="86">
        <f ca="1">175.3*OFFSET(D$113,MATCH($N$1,$C$113:$C$114,0)-1,0)</f>
        <v>175.3</v>
      </c>
      <c r="E35" s="86">
        <f ca="1">147.8*OFFSET(E$113,MATCH($N$1,$C$113:$C$114,0)-1,0)</f>
        <v>147.80000000000001</v>
      </c>
      <c r="F35" s="86">
        <f ca="1">140.6*OFFSET(F$113,MATCH($N$1,$C$113:$C$114,0)-1,0)</f>
        <v>140.6</v>
      </c>
      <c r="G35" s="86">
        <f ca="1">160.8*OFFSET(G$113,MATCH($N$1,$C$113:$C$114,0)-1,0)</f>
        <v>160.80000000000001</v>
      </c>
      <c r="H35" s="86">
        <f ca="1">201.5*OFFSET(H$113,MATCH($N$1,$C$113:$C$114,0)-1,0)</f>
        <v>201.5</v>
      </c>
      <c r="I35" s="86">
        <f ca="1">160*OFFSET(I$113,MATCH($N$1,$C$113:$C$114,0)-1,0)</f>
        <v>160</v>
      </c>
      <c r="J35" s="86">
        <f ca="1">167.6*OFFSET(J$113,MATCH($N$1,$C$113:$C$114,0)-1,0)</f>
        <v>167.6</v>
      </c>
      <c r="K35" s="86">
        <f ca="1">155.6*OFFSET(K$113,MATCH($N$1,$C$113:$C$114,0)-1,0)</f>
        <v>155.6</v>
      </c>
      <c r="L35" s="86">
        <f ca="1">140*OFFSET(L$113,MATCH($N$1,$C$113:$C$114,0)-1,0)</f>
        <v>140</v>
      </c>
      <c r="M35" s="86">
        <f ca="1">166.1*OFFSET(M$113,MATCH($N$1,$C$113:$C$114,0)-1,0)</f>
        <v>166.1</v>
      </c>
      <c r="N35" s="86">
        <v>176.20000000000002</v>
      </c>
      <c r="O35" s="84">
        <f t="shared" ca="1" si="0"/>
        <v>5.1340559041643218E-3</v>
      </c>
      <c r="P35" s="84">
        <f t="shared" ca="1" si="1"/>
        <v>5.131264916467794E-2</v>
      </c>
    </row>
    <row r="36" spans="1:16" s="78" customFormat="1" ht="18" customHeight="1">
      <c r="A36" s="192"/>
      <c r="B36" s="85" t="s">
        <v>217</v>
      </c>
      <c r="C36" s="86"/>
      <c r="D36" s="86">
        <f ca="1">526.6*OFFSET(D$113,MATCH($N$1,$C$113:$C$114,0)-1,0)</f>
        <v>526.6</v>
      </c>
      <c r="E36" s="86">
        <f ca="1">450.7*OFFSET(E$113,MATCH($N$1,$C$113:$C$114,0)-1,0)</f>
        <v>450.7</v>
      </c>
      <c r="F36" s="86">
        <f ca="1">421.9*OFFSET(F$113,MATCH($N$1,$C$113:$C$114,0)-1,0)</f>
        <v>421.9</v>
      </c>
      <c r="G36" s="86">
        <f ca="1">441.1*OFFSET(G$113,MATCH($N$1,$C$113:$C$114,0)-1,0)</f>
        <v>441.1</v>
      </c>
      <c r="H36" s="86">
        <f ca="1">535.1*OFFSET(H$113,MATCH($N$1,$C$113:$C$114,0)-1,0)</f>
        <v>535.1</v>
      </c>
      <c r="I36" s="86">
        <f ca="1">483.1*OFFSET(I$113,MATCH($N$1,$C$113:$C$114,0)-1,0)</f>
        <v>483.1</v>
      </c>
      <c r="J36" s="86">
        <f ca="1">574.6*OFFSET(J$113,MATCH($N$1,$C$113:$C$114,0)-1,0)</f>
        <v>574.6</v>
      </c>
      <c r="K36" s="86">
        <f ca="1">479.2*OFFSET(K$113,MATCH($N$1,$C$113:$C$114,0)-1,0)</f>
        <v>479.2</v>
      </c>
      <c r="L36" s="86">
        <f ca="1">377.1*OFFSET(L$113,MATCH($N$1,$C$113:$C$114,0)-1,0)</f>
        <v>377.1</v>
      </c>
      <c r="M36" s="86">
        <f ca="1">494.1*OFFSET(M$113,MATCH($N$1,$C$113:$C$114,0)-1,0)</f>
        <v>494.1</v>
      </c>
      <c r="N36" s="86">
        <v>557.1</v>
      </c>
      <c r="O36" s="84">
        <f t="shared" ca="1" si="0"/>
        <v>5.7918723889099882E-2</v>
      </c>
      <c r="P36" s="84">
        <f t="shared" ca="1" si="1"/>
        <v>-3.0455969369996519E-2</v>
      </c>
    </row>
    <row r="37" spans="1:16" s="78" customFormat="1" ht="18" customHeight="1">
      <c r="A37" s="192"/>
      <c r="B37" s="87" t="s">
        <v>218</v>
      </c>
      <c r="C37" s="88"/>
      <c r="D37" s="88">
        <f ca="1">311.8*OFFSET(D$113,MATCH($N$1,$C$113:$C$114,0)-1,0)</f>
        <v>311.8</v>
      </c>
      <c r="E37" s="88">
        <f ca="1">228.1*OFFSET(E$113,MATCH($N$1,$C$113:$C$114,0)-1,0)</f>
        <v>228.1</v>
      </c>
      <c r="F37" s="88">
        <f ca="1">198.1*OFFSET(F$113,MATCH($N$1,$C$113:$C$114,0)-1,0)</f>
        <v>198.1</v>
      </c>
      <c r="G37" s="88">
        <f ca="1">259.1*OFFSET(G$113,MATCH($N$1,$C$113:$C$114,0)-1,0)</f>
        <v>259.10000000000002</v>
      </c>
      <c r="H37" s="88">
        <f ca="1">266.1*OFFSET(H$113,MATCH($N$1,$C$113:$C$114,0)-1,0)</f>
        <v>266.10000000000002</v>
      </c>
      <c r="I37" s="88">
        <f ca="1">301*OFFSET(I$113,MATCH($N$1,$C$113:$C$114,0)-1,0)</f>
        <v>301</v>
      </c>
      <c r="J37" s="88">
        <f ca="1">181.5*OFFSET(J$113,MATCH($N$1,$C$113:$C$114,0)-1,0)</f>
        <v>181.5</v>
      </c>
      <c r="K37" s="88">
        <f ca="1">247.7*OFFSET(K$113,MATCH($N$1,$C$113:$C$114,0)-1,0)</f>
        <v>247.7</v>
      </c>
      <c r="L37" s="88">
        <f ca="1">194.8*OFFSET(L$113,MATCH($N$1,$C$113:$C$114,0)-1,0)</f>
        <v>194.8</v>
      </c>
      <c r="M37" s="88">
        <f ca="1">274.9*OFFSET(M$113,MATCH($N$1,$C$113:$C$114,0)-1,0)</f>
        <v>274.89999999999998</v>
      </c>
      <c r="N37" s="88">
        <v>236.10000000000002</v>
      </c>
      <c r="O37" s="84">
        <f t="shared" ca="1" si="0"/>
        <v>-0.24278383579217441</v>
      </c>
      <c r="P37" s="84">
        <f t="shared" ca="1" si="1"/>
        <v>0.30082644628099187</v>
      </c>
    </row>
    <row r="38" spans="1:16" s="78" customFormat="1" ht="18" customHeight="1">
      <c r="A38" s="192"/>
      <c r="B38" s="87" t="s">
        <v>219</v>
      </c>
      <c r="C38" s="88"/>
      <c r="D38" s="88">
        <f ca="1">148*OFFSET(D$113,MATCH($N$1,$C$113:$C$114,0)-1,0)</f>
        <v>148</v>
      </c>
      <c r="E38" s="88">
        <f ca="1">97*OFFSET(E$113,MATCH($N$1,$C$113:$C$114,0)-1,0)</f>
        <v>97</v>
      </c>
      <c r="F38" s="88">
        <f ca="1">78.4*OFFSET(F$113,MATCH($N$1,$C$113:$C$114,0)-1,0)</f>
        <v>78.400000000000006</v>
      </c>
      <c r="G38" s="88">
        <f ca="1">103.2*OFFSET(G$113,MATCH($N$1,$C$113:$C$114,0)-1,0)</f>
        <v>103.2</v>
      </c>
      <c r="H38" s="88">
        <f ca="1">80.4*OFFSET(H$113,MATCH($N$1,$C$113:$C$114,0)-1,0)</f>
        <v>80.400000000000006</v>
      </c>
      <c r="I38" s="88">
        <f ca="1">115.8*OFFSET(I$113,MATCH($N$1,$C$113:$C$114,0)-1,0)</f>
        <v>115.8</v>
      </c>
      <c r="J38" s="88">
        <f ca="1">10*OFFSET(J$113,MATCH($N$1,$C$113:$C$114,0)-1,0)</f>
        <v>10</v>
      </c>
      <c r="K38" s="88">
        <f ca="1">86.2*OFFSET(K$113,MATCH($N$1,$C$113:$C$114,0)-1,0)</f>
        <v>86.2</v>
      </c>
      <c r="L38" s="88">
        <f ca="1">62.3*OFFSET(L$113,MATCH($N$1,$C$113:$C$114,0)-1,0)</f>
        <v>62.3</v>
      </c>
      <c r="M38" s="88">
        <f ca="1">99.7*OFFSET(M$113,MATCH($N$1,$C$113:$C$114,0)-1,0)</f>
        <v>99.7</v>
      </c>
      <c r="N38" s="88">
        <v>72.600000000000009</v>
      </c>
      <c r="O38" s="84">
        <f t="shared" ca="1" si="0"/>
        <v>-0.50945945945945936</v>
      </c>
      <c r="P38" s="84">
        <f t="shared" ca="1" si="1"/>
        <v>6.2600000000000007</v>
      </c>
    </row>
    <row r="39" spans="1:16" s="78" customFormat="1" ht="18" customHeight="1">
      <c r="A39" s="192"/>
      <c r="B39" s="85" t="s">
        <v>220</v>
      </c>
      <c r="C39" s="86"/>
      <c r="D39" s="86">
        <f ca="1">31.5*OFFSET(D$113,MATCH($N$1,$C$113:$C$114,0)-1,0)</f>
        <v>31.5</v>
      </c>
      <c r="E39" s="86">
        <f ca="1">19.2*OFFSET(E$113,MATCH($N$1,$C$113:$C$114,0)-1,0)</f>
        <v>19.2</v>
      </c>
      <c r="F39" s="86">
        <f ca="1">12.7*OFFSET(F$113,MATCH($N$1,$C$113:$C$114,0)-1,0)</f>
        <v>12.7</v>
      </c>
      <c r="G39" s="86">
        <f ca="1">27*OFFSET(G$113,MATCH($N$1,$C$113:$C$114,0)-1,0)</f>
        <v>27</v>
      </c>
      <c r="H39" s="86">
        <f ca="1">47.6*OFFSET(H$113,MATCH($N$1,$C$113:$C$114,0)-1,0)</f>
        <v>47.6</v>
      </c>
      <c r="I39" s="86">
        <f ca="1">24.6*OFFSET(I$113,MATCH($N$1,$C$113:$C$114,0)-1,0)</f>
        <v>24.6</v>
      </c>
      <c r="J39" s="86">
        <f ca="1">28.4*OFFSET(J$113,MATCH($N$1,$C$113:$C$114,0)-1,0)</f>
        <v>28.4</v>
      </c>
      <c r="K39" s="86">
        <f ca="1">42.3*OFFSET(K$113,MATCH($N$1,$C$113:$C$114,0)-1,0)</f>
        <v>42.3</v>
      </c>
      <c r="L39" s="86">
        <f ca="1">42.1*OFFSET(L$113,MATCH($N$1,$C$113:$C$114,0)-1,0)</f>
        <v>42.1</v>
      </c>
      <c r="M39" s="86">
        <f ca="1">40.6*OFFSET(M$113,MATCH($N$1,$C$113:$C$114,0)-1,0)</f>
        <v>40.6</v>
      </c>
      <c r="N39" s="86"/>
      <c r="O39" s="84" t="str">
        <f t="shared" si="0"/>
        <v/>
      </c>
      <c r="P39" s="84" t="str">
        <f t="shared" si="1"/>
        <v/>
      </c>
    </row>
    <row r="40" spans="1:16" s="78" customFormat="1" ht="18" customHeight="1">
      <c r="A40" s="192"/>
      <c r="B40" s="85" t="s">
        <v>221</v>
      </c>
      <c r="C40" s="86"/>
      <c r="D40" s="86">
        <f ca="1">6.1*OFFSET(D$113,MATCH($N$1,$C$113:$C$114,0)-1,0)</f>
        <v>6.1</v>
      </c>
      <c r="E40" s="86">
        <f ca="1">3.1*OFFSET(E$113,MATCH($N$1,$C$113:$C$114,0)-1,0)</f>
        <v>3.1</v>
      </c>
      <c r="F40" s="86">
        <f ca="1">3.2*OFFSET(F$113,MATCH($N$1,$C$113:$C$114,0)-1,0)</f>
        <v>3.2</v>
      </c>
      <c r="G40" s="86">
        <f ca="1">3*OFFSET(G$113,MATCH($N$1,$C$113:$C$114,0)-1,0)</f>
        <v>3</v>
      </c>
      <c r="H40" s="86">
        <f ca="1">2*OFFSET(H$113,MATCH($N$1,$C$113:$C$114,0)-1,0)</f>
        <v>2</v>
      </c>
      <c r="I40" s="86">
        <f ca="1">1.6*OFFSET(I$113,MATCH($N$1,$C$113:$C$114,0)-1,0)</f>
        <v>1.6</v>
      </c>
      <c r="J40" s="86">
        <f ca="1">1.9*OFFSET(J$113,MATCH($N$1,$C$113:$C$114,0)-1,0)</f>
        <v>1.9</v>
      </c>
      <c r="K40" s="86">
        <f ca="1">3.7*OFFSET(K$113,MATCH($N$1,$C$113:$C$114,0)-1,0)</f>
        <v>3.7</v>
      </c>
      <c r="L40" s="86">
        <f ca="1">5.2*OFFSET(L$113,MATCH($N$1,$C$113:$C$114,0)-1,0)</f>
        <v>5.2</v>
      </c>
      <c r="M40" s="86">
        <f ca="1">3.3*OFFSET(M$113,MATCH($N$1,$C$113:$C$114,0)-1,0)</f>
        <v>3.3</v>
      </c>
      <c r="N40" s="86"/>
      <c r="O40" s="84" t="str">
        <f t="shared" si="0"/>
        <v/>
      </c>
      <c r="P40" s="84" t="str">
        <f t="shared" si="1"/>
        <v/>
      </c>
    </row>
    <row r="41" spans="1:16" s="78" customFormat="1" ht="18" customHeight="1">
      <c r="A41" s="192"/>
      <c r="B41" s="85" t="s">
        <v>222</v>
      </c>
      <c r="C41" s="86"/>
      <c r="D41" s="86">
        <f ca="1">1.6*OFFSET(D$113,MATCH($N$1,$C$113:$C$114,0)-1,0)</f>
        <v>1.6</v>
      </c>
      <c r="E41" s="86">
        <f ca="1">1.8*OFFSET(E$113,MATCH($N$1,$C$113:$C$114,0)-1,0)</f>
        <v>1.8</v>
      </c>
      <c r="F41" s="86">
        <f ca="1">4.5*OFFSET(F$113,MATCH($N$1,$C$113:$C$114,0)-1,0)</f>
        <v>4.5</v>
      </c>
      <c r="G41" s="86">
        <f ca="1">1.7*OFFSET(G$113,MATCH($N$1,$C$113:$C$114,0)-1,0)</f>
        <v>1.7</v>
      </c>
      <c r="H41" s="86">
        <f ca="1">0.8*OFFSET(H$113,MATCH($N$1,$C$113:$C$114,0)-1,0)</f>
        <v>0.8</v>
      </c>
      <c r="I41" s="86">
        <f ca="1">1.4*OFFSET(I$113,MATCH($N$1,$C$113:$C$114,0)-1,0)</f>
        <v>1.4</v>
      </c>
      <c r="J41" s="86">
        <f ca="1">1.4*OFFSET(J$113,MATCH($N$1,$C$113:$C$114,0)-1,0)</f>
        <v>1.4</v>
      </c>
      <c r="K41" s="86">
        <f ca="1">3.5*OFFSET(K$113,MATCH($N$1,$C$113:$C$114,0)-1,0)</f>
        <v>3.5</v>
      </c>
      <c r="L41" s="86">
        <f ca="1">1.2*OFFSET(L$113,MATCH($N$1,$C$113:$C$114,0)-1,0)</f>
        <v>1.2</v>
      </c>
      <c r="M41" s="86">
        <f ca="1">2.8*OFFSET(M$113,MATCH($N$1,$C$113:$C$114,0)-1,0)</f>
        <v>2.8</v>
      </c>
      <c r="N41" s="86"/>
      <c r="O41" s="84" t="str">
        <f t="shared" si="0"/>
        <v/>
      </c>
      <c r="P41" s="84" t="str">
        <f t="shared" si="1"/>
        <v/>
      </c>
    </row>
    <row r="42" spans="1:16" s="78" customFormat="1" ht="18" customHeight="1" thickBot="1">
      <c r="A42" s="193"/>
      <c r="B42" s="89" t="s">
        <v>223</v>
      </c>
      <c r="C42" s="90"/>
      <c r="D42" s="90">
        <f ca="1">108.8*OFFSET(D$113,MATCH($N$1,$C$113:$C$114,0)-1,0)</f>
        <v>108.8</v>
      </c>
      <c r="E42" s="90">
        <f ca="1">72.9*OFFSET(E$113,MATCH($N$1,$C$113:$C$114,0)-1,0)</f>
        <v>72.900000000000006</v>
      </c>
      <c r="F42" s="90">
        <f ca="1">57.9*OFFSET(F$113,MATCH($N$1,$C$113:$C$114,0)-1,0)</f>
        <v>57.9</v>
      </c>
      <c r="G42" s="90">
        <f ca="1">71.5*OFFSET(G$113,MATCH($N$1,$C$113:$C$114,0)-1,0)</f>
        <v>71.5</v>
      </c>
      <c r="H42" s="90">
        <f ca="1">30*OFFSET(H$113,MATCH($N$1,$C$113:$C$114,0)-1,0)</f>
        <v>30</v>
      </c>
      <c r="I42" s="90">
        <f ca="1">88.2*OFFSET(I$113,MATCH($N$1,$C$113:$C$114,0)-1,0)</f>
        <v>88.2</v>
      </c>
      <c r="J42" s="90">
        <f ca="1">-21.7*OFFSET(J$113,MATCH($N$1,$C$113:$C$114,0)-1,0)</f>
        <v>-21.7</v>
      </c>
      <c r="K42" s="90">
        <f ca="1">36.7*OFFSET(K$113,MATCH($N$1,$C$113:$C$114,0)-1,0)</f>
        <v>36.700000000000003</v>
      </c>
      <c r="L42" s="90">
        <f ca="1">13.8*OFFSET(L$113,MATCH($N$1,$C$113:$C$114,0)-1,0)</f>
        <v>13.8</v>
      </c>
      <c r="M42" s="90">
        <f ca="1">53*OFFSET(M$113,MATCH($N$1,$C$113:$C$114,0)-1,0)</f>
        <v>53</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157</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UK scallop dredge over 15m</v>
      </c>
      <c r="C49" s="101"/>
      <c r="D49" s="101"/>
      <c r="E49" s="101"/>
      <c r="F49" s="101"/>
      <c r="G49" s="101"/>
      <c r="K49" s="101" t="str">
        <f>$B25&amp;CHAR(10)&amp;$A$1</f>
        <v>Operating profit per kW day at sea (£)
UK scallop dredge over 15m</v>
      </c>
    </row>
    <row r="50" spans="1:11" s="78" customFormat="1">
      <c r="A50" s="101" t="str">
        <f>$B23&amp;CHAR(10)&amp;$A$1</f>
        <v>Fishing income per kW day at sea (£)
UK scallop dredge over 15m</v>
      </c>
    </row>
    <row r="51" spans="1:11" s="78" customFormat="1">
      <c r="A51" s="101" t="str">
        <f>$B21&amp;CHAR(10)&amp;$A$1</f>
        <v>Average price per tonne landed (£)
UK scallop dredge over 15m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UK scallop dredge over 15m</v>
      </c>
      <c r="F63" s="101" t="str">
        <f>$B21&amp;CHAR(10)&amp;$A$1</f>
        <v>Average price per tonne landed (£)
UK scallop dredge over 15m</v>
      </c>
      <c r="K63" s="101" t="str">
        <f>"Average annual operating profit per vessel (£'000)"&amp;CHAR(10)&amp;$A$1</f>
        <v>Average annual operating profit per vessel (£'000)
UK scallop dredge over 15m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UK scallop dredge over 15m</v>
      </c>
      <c r="F77" s="101" t="str">
        <f>"Top 5 landed species by value in "&amp;A78&amp;CHAR(10)&amp;A1</f>
        <v>Top 5 landed species by value in 2021
UK scallop dredge over 15m</v>
      </c>
    </row>
    <row r="78" spans="1:11" s="101" customFormat="1">
      <c r="A78" s="101">
        <v>2021</v>
      </c>
      <c r="B78" s="101" t="s">
        <v>558</v>
      </c>
      <c r="C78" s="102">
        <v>0.87692524592533361</v>
      </c>
      <c r="D78" s="103">
        <v>12153634</v>
      </c>
      <c r="G78" s="101" t="s">
        <v>559</v>
      </c>
      <c r="H78" s="102">
        <v>0.91450611712493934</v>
      </c>
      <c r="I78" s="103">
        <v>12153634</v>
      </c>
      <c r="K78" s="101" t="s">
        <v>237</v>
      </c>
    </row>
    <row r="79" spans="1:11" s="101" customFormat="1">
      <c r="B79" s="101" t="s">
        <v>560</v>
      </c>
      <c r="C79" s="102">
        <v>0.10027228382194077</v>
      </c>
      <c r="D79" s="103">
        <v>553960</v>
      </c>
      <c r="G79" s="101" t="s">
        <v>561</v>
      </c>
      <c r="H79" s="102">
        <v>3.8818115943922371E-2</v>
      </c>
      <c r="I79" s="103">
        <v>553960</v>
      </c>
    </row>
    <row r="80" spans="1:11" s="101" customFormat="1">
      <c r="B80" s="101" t="s">
        <v>562</v>
      </c>
      <c r="C80" s="102">
        <v>5.3754867810269493E-3</v>
      </c>
      <c r="D80" s="103">
        <v>1692097</v>
      </c>
      <c r="G80" s="101" t="s">
        <v>563</v>
      </c>
      <c r="H80" s="102">
        <v>8.8471066532403043E-3</v>
      </c>
      <c r="I80" s="103">
        <v>3050596</v>
      </c>
    </row>
    <row r="81" spans="1:19" s="101" customFormat="1">
      <c r="B81" s="101" t="s">
        <v>564</v>
      </c>
      <c r="C81" s="102">
        <v>4.1796440856594445E-3</v>
      </c>
      <c r="D81" s="103">
        <v>11115023</v>
      </c>
      <c r="G81" s="101" t="s">
        <v>565</v>
      </c>
      <c r="H81" s="102">
        <v>8.4890361513773847E-3</v>
      </c>
      <c r="I81" s="103">
        <v>1692097</v>
      </c>
    </row>
    <row r="82" spans="1:19" s="101" customFormat="1">
      <c r="B82" s="101" t="s">
        <v>566</v>
      </c>
      <c r="C82" s="102">
        <v>2.2272310438689528E-3</v>
      </c>
      <c r="D82" s="103">
        <v>2480382</v>
      </c>
      <c r="G82" s="101" t="s">
        <v>567</v>
      </c>
      <c r="H82" s="102">
        <v>8.3095984085012325E-3</v>
      </c>
      <c r="I82" s="103">
        <v>3689192</v>
      </c>
    </row>
    <row r="83" spans="1:19" s="101" customFormat="1">
      <c r="B83" s="101" t="s">
        <v>568</v>
      </c>
      <c r="C83" s="102">
        <v>1.1020108342170376E-2</v>
      </c>
      <c r="D83" s="103">
        <v>5920853</v>
      </c>
      <c r="G83" s="101" t="s">
        <v>291</v>
      </c>
      <c r="H83" s="102">
        <v>2.1030025718019374E-2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176</v>
      </c>
      <c r="D93" s="107">
        <v>0.79901777150529618</v>
      </c>
      <c r="E93" s="107">
        <v>0.83114711652369411</v>
      </c>
      <c r="F93" s="107">
        <v>0.79259469551252393</v>
      </c>
      <c r="G93" s="107">
        <v>0.79584920294556671</v>
      </c>
      <c r="H93" s="107">
        <v>0.88740391827838339</v>
      </c>
      <c r="I93" s="107">
        <v>0.91241102815141917</v>
      </c>
      <c r="J93" s="107">
        <v>0.89170093393548455</v>
      </c>
      <c r="K93" s="107">
        <v>0.93240670973167361</v>
      </c>
      <c r="L93" s="107">
        <v>0.91450611712493934</v>
      </c>
      <c r="M93" s="107">
        <v>0.92672122516657274</v>
      </c>
      <c r="O93" s="101">
        <v>12153634</v>
      </c>
    </row>
    <row r="94" spans="1:19" s="101" customFormat="1" hidden="1">
      <c r="B94" s="101">
        <v>2</v>
      </c>
      <c r="C94" s="101" t="s">
        <v>249</v>
      </c>
      <c r="D94" s="107">
        <v>0.14143028998800206</v>
      </c>
      <c r="E94" s="107">
        <v>9.9747224544622481E-2</v>
      </c>
      <c r="F94" s="107">
        <v>0.14612373647606963</v>
      </c>
      <c r="G94" s="107">
        <v>0.14749854097694443</v>
      </c>
      <c r="H94" s="107">
        <v>9.7584305911160463E-2</v>
      </c>
      <c r="I94" s="107">
        <v>7.1585914122192854E-2</v>
      </c>
      <c r="J94" s="107">
        <v>8.369093681070261E-2</v>
      </c>
      <c r="K94" s="107">
        <v>4.4960489066847714E-2</v>
      </c>
      <c r="L94" s="107">
        <v>3.8818115943922371E-2</v>
      </c>
      <c r="M94" s="107">
        <v>4.3740866412132567E-2</v>
      </c>
      <c r="O94" s="101">
        <v>553960</v>
      </c>
    </row>
    <row r="95" spans="1:19" s="101" customFormat="1" hidden="1">
      <c r="B95" s="101">
        <v>3</v>
      </c>
      <c r="C95" s="101" t="s">
        <v>175</v>
      </c>
      <c r="D95" s="107"/>
      <c r="E95" s="107">
        <v>9.0569956140306787E-3</v>
      </c>
      <c r="F95" s="107"/>
      <c r="G95" s="107"/>
      <c r="H95" s="107"/>
      <c r="I95" s="107"/>
      <c r="J95" s="107"/>
      <c r="K95" s="107">
        <v>5.2858564957468769E-3</v>
      </c>
      <c r="L95" s="107">
        <v>8.8471066532403043E-3</v>
      </c>
      <c r="M95" s="107">
        <v>8.8750813727626436E-3</v>
      </c>
      <c r="O95" s="101">
        <v>3050596</v>
      </c>
    </row>
    <row r="96" spans="1:19" s="101" customFormat="1" hidden="1">
      <c r="B96" s="101">
        <v>4</v>
      </c>
      <c r="C96" s="101" t="s">
        <v>161</v>
      </c>
      <c r="D96" s="107">
        <v>8.7840802869751169E-3</v>
      </c>
      <c r="E96" s="107"/>
      <c r="F96" s="107"/>
      <c r="G96" s="107"/>
      <c r="H96" s="107">
        <v>1.5537085751953326E-3</v>
      </c>
      <c r="I96" s="107">
        <v>1.967011720073986E-3</v>
      </c>
      <c r="J96" s="107">
        <v>4.5736288630958107E-3</v>
      </c>
      <c r="K96" s="107">
        <v>4.9503547244337774E-3</v>
      </c>
      <c r="L96" s="107">
        <v>8.4890361513773847E-3</v>
      </c>
      <c r="M96" s="107">
        <v>7.413987115139061E-3</v>
      </c>
      <c r="O96" s="101">
        <v>1692097</v>
      </c>
    </row>
    <row r="97" spans="1:15" s="101" customFormat="1" hidden="1">
      <c r="B97" s="101">
        <v>5</v>
      </c>
      <c r="C97" s="101" t="s">
        <v>294</v>
      </c>
      <c r="D97" s="107">
        <v>8.8085085627958894E-3</v>
      </c>
      <c r="E97" s="107">
        <v>1.1164988204088492E-2</v>
      </c>
      <c r="F97" s="107">
        <v>8.4611288348846059E-3</v>
      </c>
      <c r="G97" s="107">
        <v>5.8927068412786493E-3</v>
      </c>
      <c r="H97" s="107">
        <v>2.8462973882323974E-3</v>
      </c>
      <c r="I97" s="107">
        <v>3.3503510907827586E-3</v>
      </c>
      <c r="J97" s="107">
        <v>5.2357866573824628E-3</v>
      </c>
      <c r="K97" s="107">
        <v>5.6892318619085362E-3</v>
      </c>
      <c r="L97" s="107">
        <v>8.3095984085012325E-3</v>
      </c>
      <c r="M97" s="107">
        <v>5.2383751221155746E-3</v>
      </c>
      <c r="O97" s="101">
        <v>3689192</v>
      </c>
    </row>
    <row r="98" spans="1:15" s="101" customFormat="1" hidden="1">
      <c r="B98" s="101">
        <v>6</v>
      </c>
      <c r="C98" s="101" t="s">
        <v>159</v>
      </c>
      <c r="D98" s="107"/>
      <c r="E98" s="107"/>
      <c r="F98" s="107">
        <v>9.6434653571174662E-3</v>
      </c>
      <c r="G98" s="107">
        <v>7.1042553329203834E-3</v>
      </c>
      <c r="H98" s="107">
        <v>5.8188997482963266E-3</v>
      </c>
      <c r="I98" s="107">
        <v>5.0503557209503891E-3</v>
      </c>
      <c r="J98" s="107">
        <v>5.478208732486051E-3</v>
      </c>
      <c r="K98" s="107"/>
      <c r="L98" s="107"/>
      <c r="M98" s="107"/>
      <c r="O98" s="101">
        <v>11115023</v>
      </c>
    </row>
    <row r="99" spans="1:15" s="101" customFormat="1" hidden="1">
      <c r="B99" s="101">
        <v>7</v>
      </c>
      <c r="C99" s="101" t="s">
        <v>180</v>
      </c>
      <c r="D99" s="107">
        <v>9.9812839249130945E-3</v>
      </c>
      <c r="E99" s="107">
        <v>1.1887377220047688E-2</v>
      </c>
      <c r="F99" s="107">
        <v>1.9312969058454935E-2</v>
      </c>
      <c r="G99" s="107">
        <v>2.2116514880261277E-2</v>
      </c>
      <c r="H99" s="107"/>
      <c r="I99" s="107"/>
      <c r="J99" s="107"/>
      <c r="K99" s="107"/>
      <c r="L99" s="107"/>
      <c r="M99" s="107"/>
      <c r="O99" s="101">
        <v>2480382</v>
      </c>
    </row>
    <row r="100" spans="1:15" s="101" customFormat="1" hidden="1">
      <c r="B100" s="101">
        <v>8</v>
      </c>
      <c r="C100" s="101" t="s">
        <v>251</v>
      </c>
      <c r="D100" s="107">
        <v>3.1978065732017613E-2</v>
      </c>
      <c r="E100" s="107">
        <v>3.6996297893516515E-2</v>
      </c>
      <c r="F100" s="107">
        <v>2.3864004760949405E-2</v>
      </c>
      <c r="G100" s="107">
        <v>2.1538779023028531E-2</v>
      </c>
      <c r="H100" s="107">
        <v>4.7928700987321339E-3</v>
      </c>
      <c r="I100" s="107">
        <v>5.6353391945808276E-3</v>
      </c>
      <c r="J100" s="107">
        <v>9.3205050008485293E-3</v>
      </c>
      <c r="K100" s="107">
        <v>6.7073581193894645E-3</v>
      </c>
      <c r="L100" s="107">
        <v>2.103002571801936E-2</v>
      </c>
      <c r="M100" s="107">
        <v>8.0104648112773891E-3</v>
      </c>
      <c r="O100" s="101">
        <v>5920853</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9</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16</v>
      </c>
      <c r="D121" s="52">
        <v>31</v>
      </c>
      <c r="E121" s="52">
        <v>16</v>
      </c>
      <c r="F121" s="53">
        <v>63</v>
      </c>
    </row>
    <row r="122" spans="1:15" ht="18" customHeight="1">
      <c r="A122" s="186" t="s">
        <v>198</v>
      </c>
      <c r="B122" s="35" t="s">
        <v>199</v>
      </c>
      <c r="C122" s="54">
        <v>29.269374847412109</v>
      </c>
      <c r="D122" s="54">
        <v>21.071290046938003</v>
      </c>
      <c r="E122" s="54">
        <v>17.651874542236328</v>
      </c>
      <c r="F122" s="55">
        <v>22.284919738769531</v>
      </c>
    </row>
    <row r="123" spans="1:15" ht="18" customHeight="1">
      <c r="A123" s="187"/>
      <c r="B123" s="37" t="s">
        <v>190</v>
      </c>
      <c r="C123" s="56">
        <v>568.8125</v>
      </c>
      <c r="D123" s="56">
        <v>355.25806550056706</v>
      </c>
      <c r="E123" s="56">
        <v>255.6875</v>
      </c>
      <c r="F123" s="57">
        <v>384.20635986328125</v>
      </c>
    </row>
    <row r="124" spans="1:15" ht="18" customHeight="1">
      <c r="A124" s="187"/>
      <c r="B124" s="37" t="s">
        <v>191</v>
      </c>
      <c r="C124" s="56">
        <v>247.3125</v>
      </c>
      <c r="D124" s="56">
        <v>120.22580842048892</v>
      </c>
      <c r="E124" s="56">
        <v>62.875</v>
      </c>
      <c r="F124" s="57">
        <v>137.93650817871094</v>
      </c>
    </row>
    <row r="125" spans="1:15" ht="18" customHeight="1">
      <c r="A125" s="187"/>
      <c r="B125" s="37" t="s">
        <v>192</v>
      </c>
      <c r="C125" s="56">
        <v>482.67050170898438</v>
      </c>
      <c r="D125" s="56">
        <v>299.75374480216732</v>
      </c>
      <c r="E125" s="56">
        <v>216.54286193847656</v>
      </c>
      <c r="F125" s="57">
        <v>325.07586669921875</v>
      </c>
    </row>
    <row r="126" spans="1:15" ht="18" customHeight="1">
      <c r="A126" s="187"/>
      <c r="B126" s="37" t="s">
        <v>193</v>
      </c>
      <c r="C126" s="33">
        <v>664.6947021484375</v>
      </c>
      <c r="D126" s="33">
        <v>304.03628244707659</v>
      </c>
      <c r="E126" s="33">
        <v>87.418228149414063</v>
      </c>
      <c r="F126" s="58">
        <v>340.61795043945313</v>
      </c>
    </row>
    <row r="127" spans="1:15" ht="18" customHeight="1">
      <c r="A127" s="187"/>
      <c r="B127" s="37" t="s">
        <v>200</v>
      </c>
      <c r="C127" s="33">
        <f ca="1">1135.750375*OFFSET($L$113,MATCH($N$1,$C$113:$C$114,0)-1,0)</f>
        <v>1135.7503750000001</v>
      </c>
      <c r="D127" s="33">
        <f ca="1">519.998727822581*OFFSET($L$113,MATCH($N$1,$C$113:$C$114,0)-1,0)</f>
        <v>519.99872782258103</v>
      </c>
      <c r="E127" s="33">
        <f ca="1">169.4108125*OFFSET($L$113,MATCH($N$1,$C$113:$C$114,0)-1,0)</f>
        <v>169.41081249999999</v>
      </c>
      <c r="F127" s="58">
        <f ca="1">587.341875*OFFSET($L$113,MATCH($N$1,$C$113:$C$114,0)-1,0)</f>
        <v>587.34187499999996</v>
      </c>
    </row>
    <row r="128" spans="1:15" ht="18" customHeight="1">
      <c r="A128" s="187"/>
      <c r="B128" s="37" t="s">
        <v>195</v>
      </c>
      <c r="C128" s="56">
        <v>203.75</v>
      </c>
      <c r="D128" s="56">
        <v>180.74193548387098</v>
      </c>
      <c r="E128" s="56">
        <v>126.625</v>
      </c>
      <c r="F128" s="57">
        <v>172.84126281738281</v>
      </c>
    </row>
    <row r="129" spans="1:15" ht="18" customHeight="1">
      <c r="A129" s="187"/>
      <c r="B129" s="37" t="s">
        <v>201</v>
      </c>
      <c r="C129" s="56">
        <v>31.4375</v>
      </c>
      <c r="D129" s="56">
        <v>30.516128663093813</v>
      </c>
      <c r="E129" s="56">
        <v>45.625</v>
      </c>
      <c r="F129" s="57">
        <v>34.587303161621094</v>
      </c>
    </row>
    <row r="130" spans="1:15" ht="18" customHeight="1">
      <c r="A130" s="187"/>
      <c r="B130" s="37" t="s">
        <v>202</v>
      </c>
      <c r="C130" s="59">
        <v>3.2623052597045898</v>
      </c>
      <c r="D130" s="59">
        <v>1.6821568366695294</v>
      </c>
      <c r="E130" s="59">
        <v>0.69037097692489624</v>
      </c>
      <c r="F130" s="60">
        <v>1.9706981182098389</v>
      </c>
    </row>
    <row r="131" spans="1:15" ht="18" customHeight="1">
      <c r="A131" s="188"/>
      <c r="B131" s="39" t="s">
        <v>203</v>
      </c>
      <c r="C131" s="40">
        <f ca="1">1708.67974624893*OFFSET($L$113,MATCH($N$1,$C$113:$C$114,0)-1,0)</f>
        <v>1708.6797462489301</v>
      </c>
      <c r="D131" s="40">
        <f ca="1">1710.31800427667*OFFSET($L$113,MATCH($N$1,$C$113:$C$114,0)-1,0)</f>
        <v>1710.3180042766701</v>
      </c>
      <c r="E131" s="40">
        <f ca="1">1937.9346400209*OFFSET($L$113,MATCH($N$1,$C$113:$C$114,0)-1,0)</f>
        <v>1937.9346400208999</v>
      </c>
      <c r="F131" s="61">
        <f ca="1">1724*OFFSET($L$113,MATCH($N$1,$C$113:$C$114,0)-1,0)</f>
        <v>1724</v>
      </c>
    </row>
    <row r="132" spans="1:15" ht="18" customHeight="1">
      <c r="A132" s="198" t="s">
        <v>204</v>
      </c>
      <c r="B132" s="35" t="s">
        <v>205</v>
      </c>
      <c r="C132" s="62">
        <v>5.3480549002562112</v>
      </c>
      <c r="D132" s="62">
        <v>4.3833936412588095</v>
      </c>
      <c r="E132" s="62">
        <v>2.53340732439404</v>
      </c>
      <c r="F132" s="63">
        <v>4.5746036938013788</v>
      </c>
    </row>
    <row r="133" spans="1:15" ht="18" customHeight="1">
      <c r="A133" s="199"/>
      <c r="B133" s="37" t="s">
        <v>206</v>
      </c>
      <c r="C133" s="59">
        <f ca="1">9.13811308989513*OFFSET($L$113,MATCH($N$1,$C$113:$C$114,0)-1,0)</f>
        <v>9.1381130898951302</v>
      </c>
      <c r="D133" s="59">
        <f ca="1">7.49699706447679*OFFSET($L$113,MATCH($N$1,$C$113:$C$114,0)-1,0)</f>
        <v>7.4969970644767896</v>
      </c>
      <c r="E133" s="59">
        <f ca="1">4.90957781122589*OFFSET($L$113,MATCH($N$1,$C$113:$C$114,0)-1,0)</f>
        <v>4.9095778112258897</v>
      </c>
      <c r="F133" s="60">
        <f ca="1">7.88818178088601*OFFSET($L$113,MATCH($N$1,$C$113:$C$114,0)-1,0)</f>
        <v>7.8881817808860104</v>
      </c>
    </row>
    <row r="134" spans="1:15" ht="18" customHeight="1">
      <c r="A134" s="199"/>
      <c r="B134" s="37" t="s">
        <v>153</v>
      </c>
      <c r="C134" s="59">
        <f ca="1">7.14176428584*OFFSET($L$113,MATCH($N$1,$C$113:$C$114,0)-1,0)</f>
        <v>7.1417642858399999</v>
      </c>
      <c r="D134" s="59">
        <f ca="1">6.42423028868127*OFFSET($L$113,MATCH($N$1,$C$113:$C$114,0)-1,0)</f>
        <v>6.4242302886812697</v>
      </c>
      <c r="E134" s="59">
        <f ca="1">4.90249491670085*OFFSET($L$113,MATCH($N$1,$C$113:$C$114,0)-1,0)</f>
        <v>4.9024949167008502</v>
      </c>
      <c r="F134" s="60">
        <f ca="1">6.5493099497696*OFFSET($L$113,MATCH($N$1,$C$113:$C$114,0)-1,0)</f>
        <v>6.5493099497695999</v>
      </c>
    </row>
    <row r="135" spans="1:15" ht="18" customHeight="1">
      <c r="A135" s="200"/>
      <c r="B135" s="39" t="s">
        <v>154</v>
      </c>
      <c r="C135" s="64">
        <f ca="1">1.99634880405512*OFFSET($L$113,MATCH($N$1,$C$113:$C$114,0)-1,0)</f>
        <v>1.9963488040551201</v>
      </c>
      <c r="D135" s="64">
        <f ca="1">1.07276677579552*OFFSET($L$113,MATCH($N$1,$C$113:$C$114,0)-1,0)</f>
        <v>1.0727667757955199</v>
      </c>
      <c r="E135" s="64">
        <f ca="1">0.00708289452503084*OFFSET($L$113,MATCH($N$1,$C$113:$C$114,0)-1,0)</f>
        <v>7.0828945250308402E-3</v>
      </c>
      <c r="F135" s="65">
        <f ca="1">1.33887183111641*OFFSET($L$113,MATCH($N$1,$C$113:$C$114,0)-1,0)</f>
        <v>1.3388718311164101</v>
      </c>
    </row>
    <row r="136" spans="1:15" ht="18" customHeight="1">
      <c r="A136" s="201" t="s">
        <v>260</v>
      </c>
      <c r="B136" s="37" t="s">
        <v>261</v>
      </c>
      <c r="C136" s="66">
        <f ca="1">126.31121875*OFFSET($L$113,MATCH($N$1,$C$113:$C$114,0)-1,0)</f>
        <v>126.31121874999999</v>
      </c>
      <c r="D136" s="66">
        <f ca="1">96.9626476814516*OFFSET($L$113,MATCH($N$1,$C$113:$C$114,0)-1,0)</f>
        <v>96.9626476814516</v>
      </c>
      <c r="E136" s="66">
        <f ca="1">55.58661328125*OFFSET($L$113,MATCH($N$1,$C$113:$C$114,0)-1,0)</f>
        <v>55.586613281250003</v>
      </c>
      <c r="F136" s="67">
        <f ca="1">93.9080546875*OFFSET($L$113,MATCH($N$1,$C$113:$C$114,0)-1,0)</f>
        <v>93.908054687499998</v>
      </c>
    </row>
    <row r="137" spans="1:15" ht="18" customHeight="1">
      <c r="A137" s="202"/>
      <c r="B137" s="37" t="s">
        <v>262</v>
      </c>
      <c r="C137" s="31">
        <v>266934.38720703125</v>
      </c>
      <c r="D137" s="31">
        <v>204601.61765215476</v>
      </c>
      <c r="E137" s="31">
        <v>117074.99876403809</v>
      </c>
      <c r="F137" s="68">
        <v>198203.17460317462</v>
      </c>
    </row>
    <row r="138" spans="1:15" ht="18" customHeight="1">
      <c r="A138" s="202"/>
      <c r="B138" s="37" t="s">
        <v>263</v>
      </c>
      <c r="C138" s="31">
        <v>1310.107421875</v>
      </c>
      <c r="D138" s="31">
        <v>1132.0096639687306</v>
      </c>
      <c r="E138" s="31">
        <v>924.5804443359375</v>
      </c>
      <c r="F138" s="68">
        <v>1146.7352294921875</v>
      </c>
    </row>
    <row r="139" spans="1:15" ht="18" customHeight="1">
      <c r="A139" s="202"/>
      <c r="B139" s="37" t="s">
        <v>264</v>
      </c>
      <c r="C139" s="31">
        <f ca="1">619.93236196319*OFFSET($L$113,MATCH($N$1,$C$113:$C$114,0)-1,0)</f>
        <v>619.93236196319003</v>
      </c>
      <c r="D139" s="31">
        <f ca="1">536.470119244155*OFFSET($L$113,MATCH($N$1,$C$113:$C$114,0)-1,0)</f>
        <v>536.47011924415494</v>
      </c>
      <c r="E139" s="31">
        <f ca="1">438.986087117473*OFFSET($L$113,MATCH($N$1,$C$113:$C$114,0)-1,0)</f>
        <v>438.98608711747301</v>
      </c>
      <c r="F139" s="68">
        <f ca="1">543.319651550565*OFFSET($L$113,MATCH($N$1,$C$113:$C$114,0)-1,0)</f>
        <v>543.31965155056503</v>
      </c>
      <c r="I139" s="43"/>
      <c r="L139" s="69" t="str">
        <f>C120</f>
        <v>Most
profitable
quartile</v>
      </c>
      <c r="M139" s="69" t="str">
        <f>D120</f>
        <v>Middle
two quartiles</v>
      </c>
      <c r="N139" s="69" t="str">
        <f>E120</f>
        <v>Least
profitable
quartile</v>
      </c>
      <c r="O139" s="69"/>
    </row>
    <row r="140" spans="1:15" ht="18" customHeight="1">
      <c r="A140" s="202"/>
      <c r="B140" s="37" t="s">
        <v>265</v>
      </c>
      <c r="C140" s="31">
        <f ca="1">190.028923567067*OFFSET($L$113,MATCH($N$1,$C$113:$C$114,0)-1,0)</f>
        <v>190.02892356706701</v>
      </c>
      <c r="D140" s="31">
        <f ca="1">318.918014985037*OFFSET($L$113,MATCH($N$1,$C$113:$C$114,0)-1,0)</f>
        <v>318.91801498503702</v>
      </c>
      <c r="E140" s="31">
        <f ca="1">635.869823239177*OFFSET($L$113,MATCH($N$1,$C$113:$C$114,0)-1,0)</f>
        <v>635.86982323917698</v>
      </c>
      <c r="F140" s="68">
        <f ca="1">275.699077416041*OFFSET($L$113,MATCH($N$1,$C$113:$C$114,0)-1,0)</f>
        <v>275.69907741604101</v>
      </c>
      <c r="I140" s="43"/>
      <c r="K140" s="69" t="s">
        <v>266</v>
      </c>
      <c r="L140" s="70">
        <f t="shared" ref="L140:M142" ca="1" si="2">C141</f>
        <v>1148.232125</v>
      </c>
      <c r="M140" s="70">
        <f t="shared" ca="1" si="2"/>
        <v>525.65208870967797</v>
      </c>
      <c r="N140" s="70">
        <f ca="1">E141</f>
        <v>171.25262499999999</v>
      </c>
      <c r="O140" s="70"/>
    </row>
    <row r="141" spans="1:15" ht="18" customHeight="1">
      <c r="A141" s="179" t="s">
        <v>267</v>
      </c>
      <c r="B141" s="35" t="s">
        <v>268</v>
      </c>
      <c r="C141" s="71">
        <f ca="1">1148.232125*OFFSET($L$113,MATCH($N$1,$C$113:$C$114,0)-1,0)</f>
        <v>1148.232125</v>
      </c>
      <c r="D141" s="71">
        <f ca="1">525.652088709678*OFFSET($L$113,MATCH($N$1,$C$113:$C$114,0)-1,0)</f>
        <v>525.65208870967797</v>
      </c>
      <c r="E141" s="71">
        <f ca="1">171.252625*OFFSET($L$113,MATCH($N$1,$C$113:$C$114,0)-1,0)</f>
        <v>171.25262499999999</v>
      </c>
      <c r="F141" s="72">
        <f ca="1">593.7614375*OFFSET($L$113,MATCH($N$1,$C$113:$C$114,0)-1,0)</f>
        <v>593.76143750000006</v>
      </c>
      <c r="I141" s="43"/>
      <c r="K141" s="69" t="s">
        <v>269</v>
      </c>
      <c r="L141" s="70">
        <f t="shared" ca="1" si="2"/>
        <v>900.11149999999998</v>
      </c>
      <c r="M141" s="70">
        <f t="shared" ca="1" si="2"/>
        <v>451.24398185483898</v>
      </c>
      <c r="N141" s="70">
        <f ca="1">E142</f>
        <v>171.00821875</v>
      </c>
      <c r="O141" s="70"/>
    </row>
    <row r="142" spans="1:15" ht="18" customHeight="1">
      <c r="A142" s="180"/>
      <c r="B142" s="37" t="s">
        <v>270</v>
      </c>
      <c r="C142" s="31">
        <f ca="1">900.1115*OFFSET($L$113,MATCH($N$1,$C$113:$C$114,0)-1,0)</f>
        <v>900.11149999999998</v>
      </c>
      <c r="D142" s="31">
        <f ca="1">451.243981854839*OFFSET($L$113,MATCH($N$1,$C$113:$C$114,0)-1,0)</f>
        <v>451.24398185483898</v>
      </c>
      <c r="E142" s="31">
        <f ca="1">171.00821875*OFFSET($L$113,MATCH($N$1,$C$113:$C$114,0)-1,0)</f>
        <v>171.00821875</v>
      </c>
      <c r="F142" s="68">
        <f ca="1">494.07109375*OFFSET($L$113,MATCH($N$1,$C$113:$C$114,0)-1,0)</f>
        <v>494.07109374999999</v>
      </c>
      <c r="I142" s="43"/>
      <c r="K142" s="69" t="s">
        <v>271</v>
      </c>
      <c r="L142" s="70">
        <f t="shared" ca="1" si="2"/>
        <v>248.12062499999999</v>
      </c>
      <c r="M142" s="70">
        <f t="shared" ca="1" si="2"/>
        <v>74.408106854838707</v>
      </c>
      <c r="N142" s="70">
        <f ca="1">E143</f>
        <v>0.24440624999999999</v>
      </c>
      <c r="O142" s="70"/>
    </row>
    <row r="143" spans="1:15" ht="18" customHeight="1">
      <c r="A143" s="181"/>
      <c r="B143" s="39" t="s">
        <v>272</v>
      </c>
      <c r="C143" s="40">
        <f ca="1">248.120625*OFFSET($L$113,MATCH($N$1,$C$113:$C$114,0)-1,0)</f>
        <v>248.12062499999999</v>
      </c>
      <c r="D143" s="40">
        <f ca="1">74.4081068548387*OFFSET($L$113,MATCH($N$1,$C$113:$C$114,0)-1,0)</f>
        <v>74.408106854838707</v>
      </c>
      <c r="E143" s="40">
        <f ca="1">0.24440625*OFFSET($L$113,MATCH($N$1,$C$113:$C$114,0)-1,0)</f>
        <v>0.24440624999999999</v>
      </c>
      <c r="F143" s="61">
        <f ca="1">99.6903359375*OFFSET($L$113,MATCH($N$1,$C$113:$C$114,0)-1,0)</f>
        <v>99.690335937499995</v>
      </c>
      <c r="I143" s="43"/>
      <c r="K143" s="69" t="s">
        <v>273</v>
      </c>
      <c r="L143" s="73">
        <f ca="1">IFERROR(L141/L$140,"")</f>
        <v>0.78391074452824594</v>
      </c>
      <c r="M143" s="73">
        <f t="shared" ref="M143:N144" ca="1" si="3">IFERROR(M141/M$140,"")</f>
        <v>0.85844609304703967</v>
      </c>
      <c r="N143" s="73">
        <f t="shared" ca="1" si="3"/>
        <v>0.99857283209527448</v>
      </c>
      <c r="O143" s="73"/>
    </row>
    <row r="144" spans="1:15" ht="18" customHeight="1">
      <c r="I144" s="43"/>
      <c r="K144" s="69" t="s">
        <v>274</v>
      </c>
      <c r="L144" s="73">
        <f ca="1">IFERROR(L142/L$140,"")</f>
        <v>0.216089255471754</v>
      </c>
      <c r="M144" s="73">
        <f t="shared" ca="1" si="3"/>
        <v>0.14155390695295977</v>
      </c>
      <c r="N144" s="73">
        <f t="shared" ca="1" si="3"/>
        <v>1.427167904725548E-3</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10</v>
      </c>
      <c r="B162" s="48"/>
      <c r="C162" s="74" t="s">
        <v>255</v>
      </c>
      <c r="D162" s="74" t="s">
        <v>276</v>
      </c>
      <c r="E162" s="74" t="s">
        <v>257</v>
      </c>
      <c r="F162" s="74" t="s">
        <v>277</v>
      </c>
      <c r="G162" s="75">
        <v>9</v>
      </c>
      <c r="H162" s="74"/>
      <c r="I162" s="74" t="s">
        <v>255</v>
      </c>
      <c r="J162" s="74" t="s">
        <v>276</v>
      </c>
      <c r="K162" s="74" t="s">
        <v>257</v>
      </c>
      <c r="L162" s="48" t="s">
        <v>277</v>
      </c>
      <c r="R162" s="21"/>
      <c r="S162" s="21"/>
    </row>
    <row r="163" spans="1:19" s="43" customFormat="1">
      <c r="A163" s="44">
        <v>1</v>
      </c>
      <c r="B163" s="48" t="s">
        <v>176</v>
      </c>
      <c r="C163" s="48">
        <v>0.90579602617287691</v>
      </c>
      <c r="D163" s="48">
        <v>0.84619519527391662</v>
      </c>
      <c r="E163" s="48">
        <v>0.87243161639094569</v>
      </c>
      <c r="F163" s="44">
        <v>12153634</v>
      </c>
      <c r="G163" s="44">
        <v>1</v>
      </c>
      <c r="H163" s="48" t="s">
        <v>176</v>
      </c>
      <c r="I163" s="48">
        <v>0.91886408915182582</v>
      </c>
      <c r="J163" s="48">
        <v>0.91336177191602774</v>
      </c>
      <c r="K163" s="48">
        <v>0.89842706530913385</v>
      </c>
      <c r="L163" s="44">
        <v>12153634</v>
      </c>
      <c r="R163" s="21"/>
      <c r="S163" s="21"/>
    </row>
    <row r="164" spans="1:19" s="43" customFormat="1">
      <c r="A164" s="44">
        <v>2</v>
      </c>
      <c r="B164" s="48" t="s">
        <v>249</v>
      </c>
      <c r="C164" s="48">
        <v>6.9788459892686727E-2</v>
      </c>
      <c r="D164" s="48">
        <v>0.13757953552526758</v>
      </c>
      <c r="E164" s="48">
        <v>8.1956523133627432E-2</v>
      </c>
      <c r="F164" s="44">
        <v>553960</v>
      </c>
      <c r="G164" s="44">
        <v>2</v>
      </c>
      <c r="H164" s="48" t="s">
        <v>249</v>
      </c>
      <c r="I164" s="48">
        <v>2.710196024427693E-2</v>
      </c>
      <c r="J164" s="48">
        <v>5.3683085304138213E-2</v>
      </c>
      <c r="K164" s="48">
        <v>2.933381213975025E-2</v>
      </c>
      <c r="L164" s="44">
        <v>553960</v>
      </c>
      <c r="N164" s="43" t="s">
        <v>278</v>
      </c>
      <c r="R164" s="21"/>
      <c r="S164" s="21"/>
    </row>
    <row r="165" spans="1:19" s="43" customFormat="1">
      <c r="A165" s="44">
        <v>3</v>
      </c>
      <c r="B165" s="48" t="s">
        <v>159</v>
      </c>
      <c r="C165" s="48">
        <v>0</v>
      </c>
      <c r="D165" s="48">
        <v>3.882881482358211E-3</v>
      </c>
      <c r="E165" s="48">
        <v>8.0420868540651037E-3</v>
      </c>
      <c r="F165" s="44">
        <v>2480382</v>
      </c>
      <c r="G165" s="44">
        <v>3</v>
      </c>
      <c r="H165" s="48" t="s">
        <v>159</v>
      </c>
      <c r="I165" s="48">
        <v>0</v>
      </c>
      <c r="J165" s="48">
        <v>5.6698746404439887E-3</v>
      </c>
      <c r="K165" s="48">
        <v>1.3203415687164708E-2</v>
      </c>
      <c r="L165" s="44">
        <v>2480382</v>
      </c>
      <c r="N165" s="43" t="s">
        <v>279</v>
      </c>
      <c r="R165" s="21"/>
      <c r="S165" s="21"/>
    </row>
    <row r="166" spans="1:19" s="43" customFormat="1">
      <c r="A166" s="44">
        <v>4</v>
      </c>
      <c r="B166" s="48" t="s">
        <v>161</v>
      </c>
      <c r="C166" s="48">
        <v>7.8394074028604026E-3</v>
      </c>
      <c r="D166" s="48">
        <v>3.0426332023209927E-3</v>
      </c>
      <c r="E166" s="48">
        <v>0</v>
      </c>
      <c r="F166" s="44">
        <v>1692097</v>
      </c>
      <c r="G166" s="44">
        <v>4</v>
      </c>
      <c r="H166" s="48" t="s">
        <v>294</v>
      </c>
      <c r="I166" s="48">
        <v>1.1533499705063368E-2</v>
      </c>
      <c r="J166" s="48">
        <v>5.5432590010032227E-3</v>
      </c>
      <c r="K166" s="48">
        <v>0</v>
      </c>
      <c r="L166" s="44">
        <v>3689192</v>
      </c>
      <c r="R166" s="21"/>
      <c r="S166" s="21"/>
    </row>
    <row r="167" spans="1:19" s="43" customFormat="1">
      <c r="A167" s="44">
        <v>5</v>
      </c>
      <c r="B167" s="48" t="s">
        <v>180</v>
      </c>
      <c r="C167" s="48">
        <v>6.2276426369546342E-3</v>
      </c>
      <c r="D167" s="48">
        <v>2.4549032731470658E-3</v>
      </c>
      <c r="E167" s="48">
        <v>0</v>
      </c>
      <c r="F167" s="44">
        <v>11115023</v>
      </c>
      <c r="G167" s="44">
        <v>5</v>
      </c>
      <c r="H167" s="48" t="s">
        <v>175</v>
      </c>
      <c r="I167" s="48">
        <v>1.2618277360432806E-2</v>
      </c>
      <c r="J167" s="48">
        <v>5.3899682822764246E-3</v>
      </c>
      <c r="K167" s="48">
        <v>4.1619332445361834E-3</v>
      </c>
      <c r="L167" s="44">
        <v>3050596</v>
      </c>
      <c r="R167" s="21"/>
      <c r="S167" s="21"/>
    </row>
    <row r="168" spans="1:19" s="43" customFormat="1">
      <c r="A168" s="44">
        <v>6</v>
      </c>
      <c r="B168" s="48" t="s">
        <v>168</v>
      </c>
      <c r="C168" s="48">
        <v>0</v>
      </c>
      <c r="D168" s="48">
        <v>0</v>
      </c>
      <c r="E168" s="48">
        <v>1.7862979543609481E-2</v>
      </c>
      <c r="F168" s="44">
        <v>7434864</v>
      </c>
      <c r="G168" s="44">
        <v>6</v>
      </c>
      <c r="H168" s="48" t="s">
        <v>168</v>
      </c>
      <c r="I168" s="48">
        <v>0</v>
      </c>
      <c r="J168" s="48">
        <v>0</v>
      </c>
      <c r="K168" s="48">
        <v>3.6638619752280381E-2</v>
      </c>
      <c r="L168" s="44">
        <v>7434864</v>
      </c>
      <c r="R168" s="21"/>
      <c r="S168" s="21"/>
    </row>
    <row r="169" spans="1:19" s="43" customFormat="1">
      <c r="A169" s="44">
        <v>7</v>
      </c>
      <c r="B169" s="48" t="s">
        <v>156</v>
      </c>
      <c r="C169" s="48">
        <v>0</v>
      </c>
      <c r="D169" s="48">
        <v>0</v>
      </c>
      <c r="E169" s="48">
        <v>5.8205108520780358E-3</v>
      </c>
      <c r="F169" s="44">
        <v>8497745</v>
      </c>
      <c r="G169" s="44">
        <v>7</v>
      </c>
      <c r="H169" s="48" t="s">
        <v>161</v>
      </c>
      <c r="I169" s="48">
        <v>1.2359602392167409E-2</v>
      </c>
      <c r="J169" s="48">
        <v>0</v>
      </c>
      <c r="K169" s="48">
        <v>0</v>
      </c>
      <c r="L169" s="44">
        <v>1692097</v>
      </c>
      <c r="R169" s="21"/>
      <c r="S169" s="21"/>
    </row>
    <row r="170" spans="1:19" s="43" customFormat="1">
      <c r="A170" s="44">
        <v>8</v>
      </c>
      <c r="B170" s="48" t="s">
        <v>175</v>
      </c>
      <c r="C170" s="48">
        <v>1.8351751929321332E-3</v>
      </c>
      <c r="D170" s="48">
        <v>0</v>
      </c>
      <c r="E170" s="48">
        <v>0</v>
      </c>
      <c r="F170" s="44">
        <v>3050596</v>
      </c>
      <c r="G170" s="44">
        <v>8</v>
      </c>
      <c r="H170" s="48" t="s">
        <v>251</v>
      </c>
      <c r="I170" s="48">
        <v>1.752257114623379E-2</v>
      </c>
      <c r="J170" s="48">
        <v>1.6352040856110306E-2</v>
      </c>
      <c r="K170" s="48">
        <v>1.8235153867134701E-2</v>
      </c>
      <c r="L170" s="44">
        <v>5920853</v>
      </c>
      <c r="R170" s="21"/>
      <c r="S170" s="21"/>
    </row>
    <row r="171" spans="1:19" s="43" customFormat="1">
      <c r="A171" s="44">
        <v>9</v>
      </c>
      <c r="B171" s="48" t="s">
        <v>251</v>
      </c>
      <c r="C171" s="48">
        <v>8.5132887016893255E-3</v>
      </c>
      <c r="D171" s="48">
        <v>6.8448512429896136E-3</v>
      </c>
      <c r="E171" s="48">
        <v>1.3886283225674201E-2</v>
      </c>
      <c r="F171" s="44">
        <v>5920853</v>
      </c>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090B9E01-495C-4A0B-A9DB-DA5539220F7A}">
      <formula1>$C$113:$C$114</formula1>
    </dataValidation>
  </dataValidations>
  <hyperlinks>
    <hyperlink ref="O1:P1" location="Home_page" display="Back to home page" xr:uid="{C23F915D-E061-4B19-8163-0CC81178C465}"/>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EF658AB5-AD4E-4C8B-9055-0A2433D61642}">
          <x14:colorSeries rgb="FF323232"/>
          <x14:colorNegative rgb="FFD00000"/>
          <x14:colorAxis rgb="FF000000"/>
          <x14:colorMarkers rgb="FFD00000"/>
          <x14:colorFirst rgb="FFD00000"/>
          <x14:colorLast rgb="FFD00000"/>
          <x14:colorHigh rgb="FFD00000"/>
          <x14:colorLow rgb="FFD00000"/>
          <x14:sparklines>
            <x14:sparkline>
              <xm:f>'UK scallop dredge over 15m'!D3:N3</xm:f>
              <xm:sqref>C3</xm:sqref>
            </x14:sparkline>
            <x14:sparkline>
              <xm:f>'UK scallop dredge over 15m'!D4:N4</xm:f>
              <xm:sqref>C4</xm:sqref>
            </x14:sparkline>
            <x14:sparkline>
              <xm:f>'UK scallop dredge over 15m'!D5:N5</xm:f>
              <xm:sqref>C5</xm:sqref>
            </x14:sparkline>
            <x14:sparkline>
              <xm:f>'UK scallop dredge over 15m'!D6:N6</xm:f>
              <xm:sqref>C6</xm:sqref>
            </x14:sparkline>
            <x14:sparkline>
              <xm:f>'UK scallop dredge over 15m'!D7:N7</xm:f>
              <xm:sqref>C7</xm:sqref>
            </x14:sparkline>
            <x14:sparkline>
              <xm:f>'UK scallop dredge over 15m'!D8:N8</xm:f>
              <xm:sqref>C8</xm:sqref>
            </x14:sparkline>
            <x14:sparkline>
              <xm:f>'UK scallop dredge over 15m'!D9:N9</xm:f>
              <xm:sqref>C9</xm:sqref>
            </x14:sparkline>
            <x14:sparkline>
              <xm:f>'UK scallop dredge over 15m'!D10:N10</xm:f>
              <xm:sqref>C10</xm:sqref>
            </x14:sparkline>
            <x14:sparkline>
              <xm:f>'UK scallop dredge over 15m'!D11:N11</xm:f>
              <xm:sqref>C11</xm:sqref>
            </x14:sparkline>
            <x14:sparkline>
              <xm:f>'UK scallop dredge over 15m'!D12:N12</xm:f>
              <xm:sqref>C12</xm:sqref>
            </x14:sparkline>
            <x14:sparkline>
              <xm:f>'UK scallop dredge over 15m'!D13:N13</xm:f>
              <xm:sqref>C13</xm:sqref>
            </x14:sparkline>
            <x14:sparkline>
              <xm:f>'UK scallop dredge over 15m'!D14:N14</xm:f>
              <xm:sqref>C14</xm:sqref>
            </x14:sparkline>
            <x14:sparkline>
              <xm:f>'UK scallop dredge over 15m'!D15:N15</xm:f>
              <xm:sqref>C15</xm:sqref>
            </x14:sparkline>
            <x14:sparkline>
              <xm:f>'UK scallop dredge over 15m'!D16:N16</xm:f>
              <xm:sqref>C16</xm:sqref>
            </x14:sparkline>
            <x14:sparkline>
              <xm:f>'UK scallop dredge over 15m'!D17:N17</xm:f>
              <xm:sqref>C17</xm:sqref>
            </x14:sparkline>
            <x14:sparkline>
              <xm:f>'UK scallop dredge over 15m'!D18:N18</xm:f>
              <xm:sqref>C18</xm:sqref>
            </x14:sparkline>
            <x14:sparkline>
              <xm:f>'UK scallop dredge over 15m'!D19:N19</xm:f>
              <xm:sqref>C19</xm:sqref>
            </x14:sparkline>
            <x14:sparkline>
              <xm:f>'UK scallop dredge over 15m'!D20:N20</xm:f>
              <xm:sqref>C20</xm:sqref>
            </x14:sparkline>
            <x14:sparkline>
              <xm:f>'UK scallop dredge over 15m'!D21:N21</xm:f>
              <xm:sqref>C21</xm:sqref>
            </x14:sparkline>
            <x14:sparkline>
              <xm:f>'UK scallop dredge over 15m'!D22:N22</xm:f>
              <xm:sqref>C22</xm:sqref>
            </x14:sparkline>
            <x14:sparkline>
              <xm:f>'UK scallop dredge over 15m'!D23:N23</xm:f>
              <xm:sqref>C23</xm:sqref>
            </x14:sparkline>
            <x14:sparkline>
              <xm:f>'UK scallop dredge over 15m'!D24:N24</xm:f>
              <xm:sqref>C24</xm:sqref>
            </x14:sparkline>
            <x14:sparkline>
              <xm:f>'UK scallop dredge over 15m'!D25:N25</xm:f>
              <xm:sqref>C25</xm:sqref>
            </x14:sparkline>
            <x14:sparkline>
              <xm:f>'UK scallop dredge over 15m'!D26:N26</xm:f>
              <xm:sqref>C26</xm:sqref>
            </x14:sparkline>
            <x14:sparkline>
              <xm:f>'UK scallop dredge over 15m'!D27:N27</xm:f>
              <xm:sqref>C27</xm:sqref>
            </x14:sparkline>
            <x14:sparkline>
              <xm:f>'UK scallop dredge over 15m'!D28:N28</xm:f>
              <xm:sqref>C28</xm:sqref>
            </x14:sparkline>
            <x14:sparkline>
              <xm:f>'UK scallop dredge over 15m'!D29:N29</xm:f>
              <xm:sqref>C29</xm:sqref>
            </x14:sparkline>
            <x14:sparkline>
              <xm:f>'UK scallop dredge over 15m'!D30:N30</xm:f>
              <xm:sqref>C30</xm:sqref>
            </x14:sparkline>
            <x14:sparkline>
              <xm:f>'UK scallop dredge over 15m'!D31:N31</xm:f>
              <xm:sqref>C31</xm:sqref>
            </x14:sparkline>
            <x14:sparkline>
              <xm:f>'UK scallop dredge over 15m'!D32:N32</xm:f>
              <xm:sqref>C32</xm:sqref>
            </x14:sparkline>
            <x14:sparkline>
              <xm:f>'UK scallop dredge over 15m'!D33:N33</xm:f>
              <xm:sqref>C33</xm:sqref>
            </x14:sparkline>
            <x14:sparkline>
              <xm:f>'UK scallop dredge over 15m'!D34:N34</xm:f>
              <xm:sqref>C34</xm:sqref>
            </x14:sparkline>
            <x14:sparkline>
              <xm:f>'UK scallop dredge over 15m'!D35:N35</xm:f>
              <xm:sqref>C35</xm:sqref>
            </x14:sparkline>
            <x14:sparkline>
              <xm:f>'UK scallop dredge over 15m'!D36:N36</xm:f>
              <xm:sqref>C36</xm:sqref>
            </x14:sparkline>
            <x14:sparkline>
              <xm:f>'UK scallop dredge over 15m'!D37:N37</xm:f>
              <xm:sqref>C37</xm:sqref>
            </x14:sparkline>
            <x14:sparkline>
              <xm:f>'UK scallop dredge over 15m'!D38:N38</xm:f>
              <xm:sqref>C38</xm:sqref>
            </x14:sparkline>
            <x14:sparkline>
              <xm:f>'UK scallop dredge over 15m'!D39:N39</xm:f>
              <xm:sqref>C39</xm:sqref>
            </x14:sparkline>
            <x14:sparkline>
              <xm:f>'UK scallop dredge over 15m'!D40:N40</xm:f>
              <xm:sqref>C40</xm:sqref>
            </x14:sparkline>
            <x14:sparkline>
              <xm:f>'UK scallop dredge over 15m'!D41:N41</xm:f>
              <xm:sqref>C41</xm:sqref>
            </x14:sparkline>
            <x14:sparkline>
              <xm:f>'UK scallop dredge over 15m'!D42:N42</xm:f>
              <xm:sqref>C42</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1186-BEA5-46A8-8930-5649960DBE46}">
  <sheetPr codeName="Feuil43">
    <pageSetUpPr fitToPage="1"/>
  </sheetPr>
  <dimension ref="A1:C33"/>
  <sheetViews>
    <sheetView tabSelected="1" workbookViewId="0"/>
  </sheetViews>
  <sheetFormatPr defaultColWidth="8.625" defaultRowHeight="14.45"/>
  <cols>
    <col min="1" max="1" width="8.625" style="159"/>
    <col min="2" max="2" width="72.125" style="26" customWidth="1"/>
    <col min="3" max="16384" width="8.625" style="159"/>
  </cols>
  <sheetData>
    <row r="1" spans="1:3" ht="27" customHeight="1" thickBot="1">
      <c r="B1" s="160" t="s">
        <v>72</v>
      </c>
      <c r="C1" s="158" t="s">
        <v>41</v>
      </c>
    </row>
    <row r="2" spans="1:3">
      <c r="A2" s="209"/>
      <c r="B2" s="209"/>
      <c r="C2" s="209"/>
    </row>
    <row r="3" spans="1:3" ht="30.75" customHeight="1">
      <c r="A3" s="173" t="s">
        <v>73</v>
      </c>
      <c r="B3" s="173"/>
      <c r="C3" s="173"/>
    </row>
    <row r="4" spans="1:3">
      <c r="A4" s="26"/>
      <c r="C4" s="26"/>
    </row>
    <row r="5" spans="1:3" ht="30" customHeight="1">
      <c r="A5" s="26"/>
      <c r="C5" s="26"/>
    </row>
    <row r="6" spans="1:3">
      <c r="A6" s="173"/>
      <c r="B6" s="173"/>
      <c r="C6" s="173"/>
    </row>
    <row r="7" spans="1:3" ht="15" customHeight="1">
      <c r="A7" s="174"/>
      <c r="B7" s="174"/>
      <c r="C7" s="174"/>
    </row>
    <row r="8" spans="1:3">
      <c r="B8" s="159"/>
    </row>
    <row r="9" spans="1:3" ht="66.75" customHeight="1">
      <c r="B9" s="159"/>
    </row>
    <row r="10" spans="1:3">
      <c r="A10" s="173"/>
      <c r="B10" s="173"/>
      <c r="C10" s="173"/>
    </row>
    <row r="11" spans="1:3" ht="48.75" customHeight="1">
      <c r="A11" s="173"/>
      <c r="B11" s="173"/>
      <c r="C11" s="173"/>
    </row>
    <row r="12" spans="1:3">
      <c r="A12" s="173"/>
      <c r="B12" s="173"/>
      <c r="C12" s="173"/>
    </row>
    <row r="13" spans="1:3" ht="33" customHeight="1">
      <c r="A13" s="173"/>
      <c r="B13" s="173"/>
      <c r="C13" s="173"/>
    </row>
    <row r="14" spans="1:3">
      <c r="A14" s="209"/>
      <c r="B14" s="209"/>
      <c r="C14" s="209"/>
    </row>
    <row r="15" spans="1:3" ht="15" customHeight="1">
      <c r="A15" s="173"/>
      <c r="B15" s="173"/>
      <c r="C15" s="173"/>
    </row>
    <row r="16" spans="1:3">
      <c r="A16" s="26"/>
      <c r="C16" s="26"/>
    </row>
    <row r="17" spans="1:3" ht="60" customHeight="1">
      <c r="A17" s="209"/>
      <c r="B17" s="209"/>
      <c r="C17" s="209"/>
    </row>
    <row r="18" spans="1:3">
      <c r="A18" s="209"/>
      <c r="B18" s="209"/>
      <c r="C18" s="209"/>
    </row>
    <row r="19" spans="1:3" ht="30" customHeight="1">
      <c r="A19" s="173"/>
      <c r="B19" s="173"/>
      <c r="C19" s="173"/>
    </row>
    <row r="20" spans="1:3">
      <c r="B20" s="159"/>
    </row>
    <row r="21" spans="1:3" ht="43.35" customHeight="1">
      <c r="B21" s="159"/>
    </row>
    <row r="22" spans="1:3">
      <c r="B22" s="159"/>
    </row>
    <row r="23" spans="1:3" ht="60" customHeight="1">
      <c r="B23" s="159"/>
    </row>
    <row r="24" spans="1:3">
      <c r="B24" s="159"/>
    </row>
    <row r="25" spans="1:3" ht="45" customHeight="1">
      <c r="B25" s="159"/>
    </row>
    <row r="26" spans="1:3">
      <c r="A26" s="209"/>
      <c r="B26" s="209"/>
      <c r="C26" s="209"/>
    </row>
    <row r="27" spans="1:3" ht="34.5" customHeight="1"/>
    <row r="29" spans="1:3" ht="48" customHeight="1"/>
    <row r="31" spans="1:3" ht="18" customHeight="1">
      <c r="A31" s="159" t="s">
        <v>74</v>
      </c>
    </row>
    <row r="33" ht="48.75" customHeight="1"/>
  </sheetData>
  <mergeCells count="14">
    <mergeCell ref="A11:C11"/>
    <mergeCell ref="A2:C2"/>
    <mergeCell ref="A3:C3"/>
    <mergeCell ref="A6:C6"/>
    <mergeCell ref="A7:C7"/>
    <mergeCell ref="A10:C10"/>
    <mergeCell ref="A19:C19"/>
    <mergeCell ref="A26:C26"/>
    <mergeCell ref="A12:C12"/>
    <mergeCell ref="A13:C13"/>
    <mergeCell ref="A14:C14"/>
    <mergeCell ref="A15:C15"/>
    <mergeCell ref="A17:C17"/>
    <mergeCell ref="A18:C18"/>
  </mergeCells>
  <hyperlinks>
    <hyperlink ref="C1" location="Home_page" display="Back to_x000a_home page" xr:uid="{352C63E5-6650-4849-B517-F24B2808062E}"/>
  </hyperlinks>
  <printOptions horizontalCentered="1"/>
  <pageMargins left="0.70866141732283472" right="0.70866141732283472" top="0.74803149606299213" bottom="0.74803149606299213" header="0.31496062992125984" footer="0.31496062992125984"/>
  <pageSetup paperSize="9" scale="86"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AE255-4208-4B3B-9378-7C95E9AB6E03}">
  <sheetPr codeName="Feuil32">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33</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158</v>
      </c>
      <c r="E3" s="28">
        <v>197</v>
      </c>
      <c r="F3" s="28">
        <v>192</v>
      </c>
      <c r="G3" s="28">
        <v>226</v>
      </c>
      <c r="H3" s="28">
        <v>181</v>
      </c>
      <c r="I3" s="28">
        <v>206</v>
      </c>
      <c r="J3" s="28">
        <v>211</v>
      </c>
      <c r="K3" s="28">
        <v>189</v>
      </c>
      <c r="L3" s="28">
        <v>157</v>
      </c>
      <c r="M3" s="28">
        <v>174</v>
      </c>
      <c r="N3" s="28">
        <v>165</v>
      </c>
      <c r="O3" s="29">
        <f t="shared" ref="O3:O42" si="0">IF(N3=0,"",IFERROR(IF(AND(N3&gt;0,D3&lt;0),"na",IF(AND(N3&lt;0,D3&lt;0),-1,1)*(N3-D3)/D3),""))</f>
        <v>4.4303797468354431E-2</v>
      </c>
      <c r="P3" s="29">
        <f t="shared" ref="P3:P42" si="1">IF(N3=0,"",IFERROR(IF(AND(N3&gt;0,J3&lt;0),"na",IF(AND(N3&lt;0,J3&lt;0),-1,1)*(N3-J3)/J3),""))</f>
        <v>-0.21800947867298578</v>
      </c>
    </row>
    <row r="4" spans="1:17" ht="18" customHeight="1">
      <c r="A4" s="185"/>
      <c r="B4" s="30" t="s">
        <v>190</v>
      </c>
      <c r="C4" s="31"/>
      <c r="D4" s="31">
        <v>22085</v>
      </c>
      <c r="E4" s="31">
        <v>27648</v>
      </c>
      <c r="F4" s="31">
        <v>27235</v>
      </c>
      <c r="G4" s="31">
        <v>31577</v>
      </c>
      <c r="H4" s="31">
        <v>26042</v>
      </c>
      <c r="I4" s="31">
        <v>27921</v>
      </c>
      <c r="J4" s="31">
        <v>29050</v>
      </c>
      <c r="K4" s="31">
        <v>25956</v>
      </c>
      <c r="L4" s="31">
        <v>21721</v>
      </c>
      <c r="M4" s="31">
        <v>24663</v>
      </c>
      <c r="N4" s="31">
        <v>22061</v>
      </c>
      <c r="O4" s="29">
        <f t="shared" si="0"/>
        <v>-1.0867104369481548E-3</v>
      </c>
      <c r="P4" s="29">
        <f t="shared" si="1"/>
        <v>-0.24058519793459551</v>
      </c>
    </row>
    <row r="5" spans="1:17" ht="18" customHeight="1">
      <c r="A5" s="185"/>
      <c r="B5" s="30" t="s">
        <v>191</v>
      </c>
      <c r="C5" s="31"/>
      <c r="D5" s="31">
        <v>3016</v>
      </c>
      <c r="E5" s="31">
        <v>3654</v>
      </c>
      <c r="F5" s="31">
        <v>3656</v>
      </c>
      <c r="G5" s="31">
        <v>4220</v>
      </c>
      <c r="H5" s="31">
        <v>3621</v>
      </c>
      <c r="I5" s="31">
        <v>3785.409912109375</v>
      </c>
      <c r="J5" s="31">
        <v>4009</v>
      </c>
      <c r="K5" s="31">
        <v>3559</v>
      </c>
      <c r="L5" s="31">
        <v>3065</v>
      </c>
      <c r="M5" s="31">
        <v>3404</v>
      </c>
      <c r="N5" s="31">
        <v>3025</v>
      </c>
      <c r="O5" s="29">
        <f t="shared" si="0"/>
        <v>2.9840848806366046E-3</v>
      </c>
      <c r="P5" s="29">
        <f t="shared" si="1"/>
        <v>-0.2454477425791968</v>
      </c>
      <c r="Q5" s="32"/>
    </row>
    <row r="6" spans="1:17" ht="18" customHeight="1">
      <c r="A6" s="185"/>
      <c r="B6" s="30" t="s">
        <v>192</v>
      </c>
      <c r="C6" s="31"/>
      <c r="D6" s="31">
        <v>18186.361328125</v>
      </c>
      <c r="E6" s="31">
        <v>22866.158203125</v>
      </c>
      <c r="F6" s="31">
        <v>22442.87109375</v>
      </c>
      <c r="G6" s="31">
        <v>25914.48828125</v>
      </c>
      <c r="H6" s="31">
        <v>21226.109375</v>
      </c>
      <c r="I6" s="31">
        <v>22851.703125</v>
      </c>
      <c r="J6" s="31">
        <v>23807.642578125</v>
      </c>
      <c r="K6" s="31">
        <v>21114.81640625</v>
      </c>
      <c r="L6" s="31">
        <v>17745.193359375</v>
      </c>
      <c r="M6" s="31">
        <v>20087.58984375</v>
      </c>
      <c r="N6" s="31">
        <v>18096.599609375</v>
      </c>
      <c r="O6" s="29">
        <f t="shared" si="0"/>
        <v>-4.9356612425369845E-3</v>
      </c>
      <c r="P6" s="29">
        <f t="shared" si="1"/>
        <v>-0.23988275823652677</v>
      </c>
    </row>
    <row r="7" spans="1:17" ht="18" customHeight="1">
      <c r="A7" s="185"/>
      <c r="B7" s="30" t="s">
        <v>193</v>
      </c>
      <c r="C7" s="31"/>
      <c r="D7" s="31">
        <v>16883.2734375</v>
      </c>
      <c r="E7" s="31">
        <v>22287.515625</v>
      </c>
      <c r="F7" s="31">
        <v>19440.63671875</v>
      </c>
      <c r="G7" s="31">
        <v>23272.27734375</v>
      </c>
      <c r="H7" s="31">
        <v>16406.150390625</v>
      </c>
      <c r="I7" s="31">
        <v>15532.9296875</v>
      </c>
      <c r="J7" s="31">
        <v>18198.751953125</v>
      </c>
      <c r="K7" s="31">
        <v>18945.8125</v>
      </c>
      <c r="L7" s="31">
        <v>15999.06640625</v>
      </c>
      <c r="M7" s="31">
        <v>17223.37109375</v>
      </c>
      <c r="N7" s="31">
        <v>15902.3466796875</v>
      </c>
      <c r="O7" s="29">
        <f t="shared" si="0"/>
        <v>-5.810050766776844E-2</v>
      </c>
      <c r="P7" s="29">
        <f t="shared" si="1"/>
        <v>-0.12618476691986411</v>
      </c>
    </row>
    <row r="8" spans="1:17" ht="18" customHeight="1">
      <c r="A8" s="185"/>
      <c r="B8" s="30" t="s">
        <v>194</v>
      </c>
      <c r="C8" s="33"/>
      <c r="D8" s="33">
        <f ca="1">28.126928*OFFSET(D$113,MATCH($N$1,$C$113:$C$114,0)-1,0)</f>
        <v>28.126927999999999</v>
      </c>
      <c r="E8" s="33">
        <f ca="1">28.173094*OFFSET(E$113,MATCH($N$1,$C$113:$C$114,0)-1,0)</f>
        <v>28.173093999999999</v>
      </c>
      <c r="F8" s="33">
        <f ca="1">30.614098*OFFSET(F$113,MATCH($N$1,$C$113:$C$114,0)-1,0)</f>
        <v>30.614097999999998</v>
      </c>
      <c r="G8" s="33">
        <f ca="1">33.192188*OFFSET(G$113,MATCH($N$1,$C$113:$C$114,0)-1,0)</f>
        <v>33.192188000000002</v>
      </c>
      <c r="H8" s="33">
        <f ca="1">33.580556*OFFSET(H$113,MATCH($N$1,$C$113:$C$114,0)-1,0)</f>
        <v>33.580556000000001</v>
      </c>
      <c r="I8" s="33">
        <f ca="1">33.721308*OFFSET(I$113,MATCH($N$1,$C$113:$C$114,0)-1,0)</f>
        <v>33.721308000000001</v>
      </c>
      <c r="J8" s="33">
        <f ca="1">35.545116*OFFSET(J$113,MATCH($N$1,$C$113:$C$114,0)-1,0)</f>
        <v>35.545116</v>
      </c>
      <c r="K8" s="33">
        <f ca="1">35.789676*OFFSET(K$113,MATCH($N$1,$C$113:$C$114,0)-1,0)</f>
        <v>35.789676</v>
      </c>
      <c r="L8" s="33">
        <f ca="1">22.411596*OFFSET(L$113,MATCH($N$1,$C$113:$C$114,0)-1,0)</f>
        <v>22.411595999999999</v>
      </c>
      <c r="M8" s="33">
        <f ca="1">30.526116*OFFSET(M$113,MATCH($N$1,$C$113:$C$114,0)-1,0)</f>
        <v>30.526115999999998</v>
      </c>
      <c r="N8" s="33">
        <v>34.306424</v>
      </c>
      <c r="O8" s="29">
        <f t="shared" ca="1" si="0"/>
        <v>0.21970035263004906</v>
      </c>
      <c r="P8" s="29">
        <f t="shared" ca="1" si="1"/>
        <v>-3.4848444438892824E-2</v>
      </c>
    </row>
    <row r="9" spans="1:17" ht="18" customHeight="1">
      <c r="A9" s="185"/>
      <c r="B9" s="30" t="s">
        <v>195</v>
      </c>
      <c r="C9" s="31"/>
      <c r="D9" s="31">
        <v>16972</v>
      </c>
      <c r="E9" s="31">
        <v>18835</v>
      </c>
      <c r="F9" s="31">
        <v>17573</v>
      </c>
      <c r="G9" s="31">
        <v>22083</v>
      </c>
      <c r="H9" s="31">
        <v>20440</v>
      </c>
      <c r="I9" s="31">
        <v>19713</v>
      </c>
      <c r="J9" s="31">
        <v>20133</v>
      </c>
      <c r="K9" s="31">
        <v>18738</v>
      </c>
      <c r="L9" s="31">
        <v>13340</v>
      </c>
      <c r="M9" s="31">
        <v>15502</v>
      </c>
      <c r="N9" s="31">
        <v>15261</v>
      </c>
      <c r="O9" s="29">
        <f t="shared" si="0"/>
        <v>-0.10081310393589442</v>
      </c>
      <c r="P9" s="29">
        <f t="shared" si="1"/>
        <v>-0.24199076143644763</v>
      </c>
    </row>
    <row r="10" spans="1:17" ht="18" customHeight="1">
      <c r="A10" s="185"/>
      <c r="B10" s="30" t="s">
        <v>196</v>
      </c>
      <c r="C10" s="31"/>
      <c r="D10" s="31">
        <v>8830.35</v>
      </c>
      <c r="E10" s="31">
        <v>9962.4500000000007</v>
      </c>
      <c r="F10" s="31">
        <v>9433.2000000000007</v>
      </c>
      <c r="G10" s="31">
        <v>11357.5</v>
      </c>
      <c r="H10" s="31">
        <v>10922.4</v>
      </c>
      <c r="I10" s="31">
        <v>10380.5</v>
      </c>
      <c r="J10" s="31">
        <v>10651.35</v>
      </c>
      <c r="K10" s="31">
        <v>9845.65</v>
      </c>
      <c r="L10" s="31">
        <v>7010.2</v>
      </c>
      <c r="M10" s="31">
        <v>8206.9500000000007</v>
      </c>
      <c r="N10" s="31">
        <v>7952.8</v>
      </c>
      <c r="O10" s="29">
        <f t="shared" si="0"/>
        <v>-9.9378846818076308E-2</v>
      </c>
      <c r="P10" s="29">
        <f t="shared" si="1"/>
        <v>-0.25335286137437979</v>
      </c>
    </row>
    <row r="11" spans="1:17" ht="18" customHeight="1">
      <c r="A11" s="185"/>
      <c r="B11" s="30" t="s">
        <v>197</v>
      </c>
      <c r="C11" s="31"/>
      <c r="D11" s="31">
        <v>342.74188232421875</v>
      </c>
      <c r="E11" s="31">
        <v>298.74044799804688</v>
      </c>
      <c r="F11" s="31">
        <v>261.64712524414063</v>
      </c>
      <c r="G11" s="31">
        <v>339.0654296875</v>
      </c>
      <c r="H11" s="31">
        <v>471.13790893554688</v>
      </c>
      <c r="I11" s="31">
        <v>295.12356567382813</v>
      </c>
      <c r="J11" s="31">
        <v>305.4920654296875</v>
      </c>
      <c r="K11" s="31">
        <v>226.56343078613281</v>
      </c>
      <c r="L11" s="31">
        <v>202.74388122558594</v>
      </c>
      <c r="M11" s="31">
        <v>224.39103698730469</v>
      </c>
      <c r="N11" s="31">
        <v>219.98161315917969</v>
      </c>
      <c r="O11" s="34">
        <f t="shared" si="0"/>
        <v>-0.35817119382250823</v>
      </c>
      <c r="P11" s="34">
        <f t="shared" si="1"/>
        <v>-0.27991055070524906</v>
      </c>
    </row>
    <row r="12" spans="1:17" ht="18" customHeight="1">
      <c r="A12" s="186" t="s">
        <v>198</v>
      </c>
      <c r="B12" s="35" t="s">
        <v>199</v>
      </c>
      <c r="C12" s="36"/>
      <c r="D12" s="36">
        <v>11.262531280517578</v>
      </c>
      <c r="E12" s="36">
        <v>11.412335395812988</v>
      </c>
      <c r="F12" s="36">
        <v>11.445052146911621</v>
      </c>
      <c r="G12" s="36">
        <v>11.280487060546875</v>
      </c>
      <c r="H12" s="36">
        <v>11.313425064086914</v>
      </c>
      <c r="I12" s="36">
        <v>10.942621231079102</v>
      </c>
      <c r="J12" s="36">
        <v>11.017677307128906</v>
      </c>
      <c r="K12" s="36">
        <v>10.873915672302246</v>
      </c>
      <c r="L12" s="36">
        <v>11.035732269287109</v>
      </c>
      <c r="M12" s="36">
        <v>11.139195442199707</v>
      </c>
      <c r="N12" s="36">
        <v>10.886545181274414</v>
      </c>
      <c r="O12" s="29">
        <f t="shared" si="0"/>
        <v>-3.3383800664204266E-2</v>
      </c>
      <c r="P12" s="29">
        <f t="shared" si="1"/>
        <v>-1.1901975543397347E-2</v>
      </c>
    </row>
    <row r="13" spans="1:17" ht="18" customHeight="1">
      <c r="A13" s="187"/>
      <c r="B13" s="37" t="s">
        <v>190</v>
      </c>
      <c r="C13" s="31"/>
      <c r="D13" s="31">
        <v>139.77848815917969</v>
      </c>
      <c r="E13" s="31">
        <v>140.34518432617188</v>
      </c>
      <c r="F13" s="31">
        <v>141.84895324707031</v>
      </c>
      <c r="G13" s="31">
        <v>139.72123718261719</v>
      </c>
      <c r="H13" s="31">
        <v>143.87844848632813</v>
      </c>
      <c r="I13" s="31">
        <v>135.53883361816406</v>
      </c>
      <c r="J13" s="31">
        <v>137.67771911621094</v>
      </c>
      <c r="K13" s="31">
        <v>137.33332824707031</v>
      </c>
      <c r="L13" s="31">
        <v>138.35031127929688</v>
      </c>
      <c r="M13" s="31">
        <v>141.74137878417969</v>
      </c>
      <c r="N13" s="31">
        <v>133.70303344726563</v>
      </c>
      <c r="O13" s="29">
        <f t="shared" si="0"/>
        <v>-4.3464876404982554E-2</v>
      </c>
      <c r="P13" s="29">
        <f t="shared" si="1"/>
        <v>-2.8869490971087063E-2</v>
      </c>
    </row>
    <row r="14" spans="1:17" ht="18" customHeight="1">
      <c r="A14" s="187"/>
      <c r="B14" s="37" t="s">
        <v>191</v>
      </c>
      <c r="C14" s="31"/>
      <c r="D14" s="31">
        <v>19.088607788085938</v>
      </c>
      <c r="E14" s="31">
        <v>18.548223495483398</v>
      </c>
      <c r="F14" s="31">
        <v>19.041666030883789</v>
      </c>
      <c r="G14" s="31">
        <v>18.672565460205078</v>
      </c>
      <c r="H14" s="31">
        <v>20.005525588989258</v>
      </c>
      <c r="I14" s="31">
        <v>18.375776290893555</v>
      </c>
      <c r="J14" s="31">
        <v>19</v>
      </c>
      <c r="K14" s="31">
        <v>18.8306884765625</v>
      </c>
      <c r="L14" s="31">
        <v>19.522293090820313</v>
      </c>
      <c r="M14" s="31">
        <v>19.56321907043457</v>
      </c>
      <c r="N14" s="31">
        <v>18.445121765136719</v>
      </c>
      <c r="O14" s="29">
        <f t="shared" si="0"/>
        <v>-3.3710474335946462E-2</v>
      </c>
      <c r="P14" s="29">
        <f t="shared" si="1"/>
        <v>-2.9204117624383224E-2</v>
      </c>
    </row>
    <row r="15" spans="1:17" ht="18" customHeight="1">
      <c r="A15" s="187"/>
      <c r="B15" s="37" t="s">
        <v>192</v>
      </c>
      <c r="C15" s="31"/>
      <c r="D15" s="31">
        <v>115.10355377197266</v>
      </c>
      <c r="E15" s="31">
        <v>116.07186889648438</v>
      </c>
      <c r="F15" s="31">
        <v>116.88995361328125</v>
      </c>
      <c r="G15" s="31">
        <v>114.66587829589844</v>
      </c>
      <c r="H15" s="31">
        <v>117.27132415771484</v>
      </c>
      <c r="I15" s="31">
        <v>110.93059539794922</v>
      </c>
      <c r="J15" s="31">
        <v>112.83242797851563</v>
      </c>
      <c r="K15" s="31">
        <v>111.71860504150391</v>
      </c>
      <c r="L15" s="31">
        <v>113.02671051025391</v>
      </c>
      <c r="M15" s="31">
        <v>115.4459228515625</v>
      </c>
      <c r="N15" s="31">
        <v>109.67636108398438</v>
      </c>
      <c r="O15" s="29">
        <f t="shared" si="0"/>
        <v>-4.715052237865644E-2</v>
      </c>
      <c r="P15" s="29">
        <f t="shared" si="1"/>
        <v>-2.7971275200531848E-2</v>
      </c>
    </row>
    <row r="16" spans="1:17" ht="18" customHeight="1">
      <c r="A16" s="187"/>
      <c r="B16" s="37" t="s">
        <v>193</v>
      </c>
      <c r="C16" s="33"/>
      <c r="D16" s="33">
        <v>106.85616302490234</v>
      </c>
      <c r="E16" s="33">
        <v>113.13459777832031</v>
      </c>
      <c r="F16" s="33">
        <v>101.25331115722656</v>
      </c>
      <c r="G16" s="33">
        <v>102.97467803955078</v>
      </c>
      <c r="H16" s="33">
        <v>90.641716003417969</v>
      </c>
      <c r="I16" s="33">
        <v>75.402572631835938</v>
      </c>
      <c r="J16" s="33">
        <v>86.250007629394531</v>
      </c>
      <c r="K16" s="33">
        <v>100.24239349365234</v>
      </c>
      <c r="L16" s="33">
        <v>101.90488433837891</v>
      </c>
      <c r="M16" s="33">
        <v>98.984893798828125</v>
      </c>
      <c r="N16" s="33">
        <v>96.377861022949219</v>
      </c>
      <c r="O16" s="29">
        <f t="shared" si="0"/>
        <v>-9.8059875119334061E-2</v>
      </c>
      <c r="P16" s="29">
        <f t="shared" si="1"/>
        <v>0.11742437678467002</v>
      </c>
    </row>
    <row r="17" spans="1:16" ht="18" customHeight="1">
      <c r="A17" s="187"/>
      <c r="B17" s="37" t="s">
        <v>200</v>
      </c>
      <c r="C17" s="33"/>
      <c r="D17" s="33">
        <f ca="1">178.01853125*OFFSET(D$113,MATCH($N$1,$C$113:$C$114,0)-1,0)</f>
        <v>178.01853125</v>
      </c>
      <c r="E17" s="33">
        <f ca="1">143.010640625*OFFSET(E$113,MATCH($N$1,$C$113:$C$114,0)-1,0)</f>
        <v>143.01064062500001</v>
      </c>
      <c r="F17" s="33">
        <f ca="1">159.448421875*OFFSET(F$113,MATCH($N$1,$C$113:$C$114,0)-1,0)</f>
        <v>159.44842187500001</v>
      </c>
      <c r="G17" s="33">
        <f ca="1">146.86809375*OFFSET(G$113,MATCH($N$1,$C$113:$C$114,0)-1,0)</f>
        <v>146.86809375000001</v>
      </c>
      <c r="H17" s="33">
        <f ca="1">185.527921875*OFFSET(H$113,MATCH($N$1,$C$113:$C$114,0)-1,0)</f>
        <v>185.527921875</v>
      </c>
      <c r="I17" s="33">
        <f ca="1">163.695671875*OFFSET(I$113,MATCH($N$1,$C$113:$C$114,0)-1,0)</f>
        <v>163.69567187499999</v>
      </c>
      <c r="J17" s="33">
        <f ca="1">168.460265625*OFFSET(J$113,MATCH($N$1,$C$113:$C$114,0)-1,0)</f>
        <v>168.46026562500001</v>
      </c>
      <c r="K17" s="33">
        <f ca="1">189.363375*OFFSET(K$113,MATCH($N$1,$C$113:$C$114,0)-1,0)</f>
        <v>189.36337499999999</v>
      </c>
      <c r="L17" s="33">
        <f ca="1">142.74903125*OFFSET(L$113,MATCH($N$1,$C$113:$C$114,0)-1,0)</f>
        <v>142.74903125</v>
      </c>
      <c r="M17" s="33">
        <f ca="1">175.437453125*OFFSET(M$113,MATCH($N$1,$C$113:$C$114,0)-1,0)</f>
        <v>175.43745312499999</v>
      </c>
      <c r="N17" s="33">
        <v>207.91771875000001</v>
      </c>
      <c r="O17" s="29">
        <f t="shared" ca="1" si="0"/>
        <v>0.16795547794971491</v>
      </c>
      <c r="P17" s="29">
        <f t="shared" ca="1" si="1"/>
        <v>0.23422409420173915</v>
      </c>
    </row>
    <row r="18" spans="1:16" ht="18" customHeight="1">
      <c r="A18" s="187"/>
      <c r="B18" s="37" t="s">
        <v>195</v>
      </c>
      <c r="C18" s="31"/>
      <c r="D18" s="31">
        <v>107.417724609375</v>
      </c>
      <c r="E18" s="31">
        <v>95.609138488769531</v>
      </c>
      <c r="F18" s="31">
        <v>91.526039123535156</v>
      </c>
      <c r="G18" s="31">
        <v>97.712387084960938</v>
      </c>
      <c r="H18" s="31">
        <v>112.92817687988281</v>
      </c>
      <c r="I18" s="31">
        <v>95.694175720214844</v>
      </c>
      <c r="J18" s="31">
        <v>95.417060852050781</v>
      </c>
      <c r="K18" s="31">
        <v>99.142860412597656</v>
      </c>
      <c r="L18" s="31">
        <v>84.968154907226563</v>
      </c>
      <c r="M18" s="31">
        <v>89.091957092285156</v>
      </c>
      <c r="N18" s="31">
        <v>92.49090576171875</v>
      </c>
      <c r="O18" s="29">
        <f t="shared" si="0"/>
        <v>-0.13896048256409907</v>
      </c>
      <c r="P18" s="29">
        <f t="shared" si="1"/>
        <v>-3.066700089273542E-2</v>
      </c>
    </row>
    <row r="19" spans="1:16" ht="18" customHeight="1">
      <c r="A19" s="187"/>
      <c r="B19" s="37" t="s">
        <v>201</v>
      </c>
      <c r="C19" s="31"/>
      <c r="D19" s="31">
        <v>22.772151947021484</v>
      </c>
      <c r="E19" s="31">
        <v>22.416244506835938</v>
      </c>
      <c r="F19" s="31">
        <v>23.802083969116211</v>
      </c>
      <c r="G19" s="31">
        <v>23.827434539794922</v>
      </c>
      <c r="H19" s="31">
        <v>25.79557991027832</v>
      </c>
      <c r="I19" s="31">
        <v>25.932039260864258</v>
      </c>
      <c r="J19" s="31">
        <v>26.071090698242188</v>
      </c>
      <c r="K19" s="31">
        <v>25.962963104248047</v>
      </c>
      <c r="L19" s="31">
        <v>25.929935455322266</v>
      </c>
      <c r="M19" s="31">
        <v>25.959770202636719</v>
      </c>
      <c r="N19" s="31">
        <v>26.890909194946289</v>
      </c>
      <c r="O19" s="29">
        <f t="shared" si="0"/>
        <v>0.18086816114291401</v>
      </c>
      <c r="P19" s="29">
        <f t="shared" si="1"/>
        <v>3.1445500542843681E-2</v>
      </c>
    </row>
    <row r="20" spans="1:16" ht="18" customHeight="1">
      <c r="A20" s="187"/>
      <c r="B20" s="37" t="s">
        <v>202</v>
      </c>
      <c r="C20" s="38"/>
      <c r="D20" s="38">
        <v>0.99477219581604004</v>
      </c>
      <c r="E20" s="38">
        <v>1.1833032369613647</v>
      </c>
      <c r="F20" s="38">
        <v>1.1062787771224976</v>
      </c>
      <c r="G20" s="38">
        <v>1.0538549423217773</v>
      </c>
      <c r="H20" s="38">
        <v>0.80264925956726074</v>
      </c>
      <c r="I20" s="38">
        <v>0.78795361518859863</v>
      </c>
      <c r="J20" s="38">
        <v>0.90392649173736572</v>
      </c>
      <c r="K20" s="38">
        <v>1.0110903978347778</v>
      </c>
      <c r="L20" s="38">
        <v>1.1993303298950195</v>
      </c>
      <c r="M20" s="38">
        <v>1.1110419034957886</v>
      </c>
      <c r="N20" s="38">
        <v>1.0420253276824951</v>
      </c>
      <c r="O20" s="29">
        <f t="shared" si="0"/>
        <v>4.7501460198826714E-2</v>
      </c>
      <c r="P20" s="29">
        <f t="shared" si="1"/>
        <v>0.15277662200130956</v>
      </c>
    </row>
    <row r="21" spans="1:16" ht="18" customHeight="1">
      <c r="A21" s="188"/>
      <c r="B21" s="39" t="s">
        <v>203</v>
      </c>
      <c r="C21" s="40"/>
      <c r="D21" s="40">
        <f ca="1">1666*OFFSET(D$113,MATCH($N$1,$C$113:$C$114,0)-1,0)</f>
        <v>1666</v>
      </c>
      <c r="E21" s="40">
        <f ca="1">1264*OFFSET(E$113,MATCH($N$1,$C$113:$C$114,0)-1,0)</f>
        <v>1264</v>
      </c>
      <c r="F21" s="40">
        <f ca="1">1575*OFFSET(F$113,MATCH($N$1,$C$113:$C$114,0)-1,0)</f>
        <v>1575</v>
      </c>
      <c r="G21" s="40">
        <f ca="1">1426*OFFSET(G$113,MATCH($N$1,$C$113:$C$114,0)-1,0)</f>
        <v>1426</v>
      </c>
      <c r="H21" s="40">
        <f ca="1">2047*OFFSET(H$113,MATCH($N$1,$C$113:$C$114,0)-1,0)</f>
        <v>2047</v>
      </c>
      <c r="I21" s="40">
        <f ca="1">2171*OFFSET(I$113,MATCH($N$1,$C$113:$C$114,0)-1,0)</f>
        <v>2171</v>
      </c>
      <c r="J21" s="40">
        <f ca="1">1953*OFFSET(J$113,MATCH($N$1,$C$113:$C$114,0)-1,0)</f>
        <v>1953</v>
      </c>
      <c r="K21" s="40">
        <f ca="1">1889*OFFSET(K$113,MATCH($N$1,$C$113:$C$114,0)-1,0)</f>
        <v>1889</v>
      </c>
      <c r="L21" s="40">
        <f ca="1">1401*OFFSET(L$113,MATCH($N$1,$C$113:$C$114,0)-1,0)</f>
        <v>1401</v>
      </c>
      <c r="M21" s="40">
        <f ca="1">1772*OFFSET(M$113,MATCH($N$1,$C$113:$C$114,0)-1,0)</f>
        <v>1772</v>
      </c>
      <c r="N21" s="40">
        <v>2157</v>
      </c>
      <c r="O21" s="34">
        <f t="shared" ca="1" si="0"/>
        <v>0.29471788715486197</v>
      </c>
      <c r="P21" s="34">
        <f t="shared" ca="1" si="1"/>
        <v>0.10445468509984639</v>
      </c>
    </row>
    <row r="22" spans="1:16" ht="18" customHeight="1">
      <c r="A22" s="189" t="s">
        <v>204</v>
      </c>
      <c r="B22" s="35" t="s">
        <v>205</v>
      </c>
      <c r="C22" s="41"/>
      <c r="D22" s="41">
        <v>6.5354112487720801</v>
      </c>
      <c r="E22" s="41">
        <v>7.7882520128140298</v>
      </c>
      <c r="F22" s="41">
        <v>7.1004815832487802</v>
      </c>
      <c r="G22" s="41">
        <v>6.9926513290677343</v>
      </c>
      <c r="H22" s="41">
        <v>5.1164718238853713</v>
      </c>
      <c r="I22" s="41">
        <v>5.1145317503804488</v>
      </c>
      <c r="J22" s="41">
        <v>5.8253546568535306</v>
      </c>
      <c r="K22" s="41">
        <v>6.5248849361141286</v>
      </c>
      <c r="L22" s="41">
        <v>7.7029506569246617</v>
      </c>
      <c r="M22" s="41">
        <v>7.1827763403875489</v>
      </c>
      <c r="N22" s="41">
        <v>6.8222892776522528</v>
      </c>
      <c r="O22" s="29">
        <f t="shared" si="0"/>
        <v>4.3895941350909379E-2</v>
      </c>
      <c r="P22" s="29">
        <f t="shared" si="1"/>
        <v>0.17113715464960205</v>
      </c>
    </row>
    <row r="23" spans="1:16" ht="18" customHeight="1">
      <c r="A23" s="189"/>
      <c r="B23" s="37" t="s">
        <v>206</v>
      </c>
      <c r="C23" s="38"/>
      <c r="D23" s="38">
        <f ca="1">10.8877605061488*OFFSET(D$113,MATCH($N$1,$C$113:$C$114,0)-1,0)</f>
        <v>10.887760506148799</v>
      </c>
      <c r="E23" s="38">
        <f ca="1">9.8449363110293*OFFSET(E$113,MATCH($N$1,$C$113:$C$114,0)-1,0)</f>
        <v>9.8449363110293007</v>
      </c>
      <c r="F23" s="38">
        <f ca="1">11.1814672533869*OFFSET(F$113,MATCH($N$1,$C$113:$C$114,0)-1,0)</f>
        <v>11.1814672533869</v>
      </c>
      <c r="G23" s="38">
        <f ca="1">9.97330014048823*OFFSET(G$113,MATCH($N$1,$C$113:$C$114,0)-1,0)</f>
        <v>9.9733001404882309</v>
      </c>
      <c r="H23" s="38">
        <f ca="1">10.4725332514849*OFFSET(H$113,MATCH($N$1,$C$113:$C$114,0)-1,0)</f>
        <v>10.472533251484901</v>
      </c>
      <c r="I23" s="38">
        <f ca="1">11.1034236894334*OFFSET(I$113,MATCH($N$1,$C$113:$C$114,0)-1,0)</f>
        <v>11.1034236894334</v>
      </c>
      <c r="J23" s="38">
        <f ca="1">11.3778632585179*OFFSET(J$113,MATCH($N$1,$C$113:$C$114,0)-1,0)</f>
        <v>11.3778632585179</v>
      </c>
      <c r="K23" s="38">
        <f ca="1">12.3258652345275*OFFSET(K$113,MATCH($N$1,$C$113:$C$114,0)-1,0)</f>
        <v>12.3258652345275</v>
      </c>
      <c r="L23" s="38">
        <f ca="1">10.7903438699888*OFFSET(L$113,MATCH($N$1,$C$113:$C$114,0)-1,0)</f>
        <v>10.790343869988799</v>
      </c>
      <c r="M23" s="38">
        <f ca="1">12.7305080519167*OFFSET(M$113,MATCH($N$1,$C$113:$C$114,0)-1,0)</f>
        <v>12.730508051916701</v>
      </c>
      <c r="N23" s="38">
        <v>14.717849184516336</v>
      </c>
      <c r="O23" s="29">
        <f t="shared" ca="1" si="0"/>
        <v>0.35177929163711086</v>
      </c>
      <c r="P23" s="29">
        <f t="shared" ca="1" si="1"/>
        <v>0.29355124508971364</v>
      </c>
    </row>
    <row r="24" spans="1:16" ht="18" customHeight="1">
      <c r="A24" s="189"/>
      <c r="B24" s="37" t="s">
        <v>153</v>
      </c>
      <c r="C24" s="38"/>
      <c r="D24" s="38">
        <f ca="1">8.770651409987*OFFSET(D$113,MATCH($N$1,$C$113:$C$114,0)-1,0)</f>
        <v>8.7706514099869999</v>
      </c>
      <c r="E24" s="38">
        <f ca="1">8.46777060568825*OFFSET(E$113,MATCH($N$1,$C$113:$C$114,0)-1,0)</f>
        <v>8.4677706056882496</v>
      </c>
      <c r="F24" s="38">
        <f ca="1">9.18038779188544*OFFSET(F$113,MATCH($N$1,$C$113:$C$114,0)-1,0)</f>
        <v>9.1803877918854404</v>
      </c>
      <c r="G24" s="38">
        <f ca="1">8.23943836538943*OFFSET(G$113,MATCH($N$1,$C$113:$C$114,0)-1,0)</f>
        <v>8.2394383653894305</v>
      </c>
      <c r="H24" s="38">
        <f ca="1">8.57677785002726*OFFSET(H$113,MATCH($N$1,$C$113:$C$114,0)-1,0)</f>
        <v>8.5767778500272591</v>
      </c>
      <c r="I24" s="38">
        <f ca="1">9.87225308045407*OFFSET(I$113,MATCH($N$1,$C$113:$C$114,0)-1,0)</f>
        <v>9.8722530804540707</v>
      </c>
      <c r="J24" s="38">
        <f ca="1">9.57512019080145*OFFSET(J$113,MATCH($N$1,$C$113:$C$114,0)-1,0)</f>
        <v>9.5751201908014494</v>
      </c>
      <c r="K24" s="38">
        <f ca="1">10.921170006949*OFFSET(K$113,MATCH($N$1,$C$113:$C$114,0)-1,0)</f>
        <v>10.921170006949</v>
      </c>
      <c r="L24" s="38">
        <f ca="1">9.5335845605265*OFFSET(L$113,MATCH($N$1,$C$113:$C$114,0)-1,0)</f>
        <v>9.5335845605264993</v>
      </c>
      <c r="M24" s="38">
        <f ca="1">11.5836867362184*OFFSET(M$113,MATCH($N$1,$C$113:$C$114,0)-1,0)</f>
        <v>11.5836867362184</v>
      </c>
      <c r="N24" s="38">
        <v>14.093818244284599</v>
      </c>
      <c r="O24" s="29">
        <f t="shared" ca="1" si="0"/>
        <v>0.6069294725630292</v>
      </c>
      <c r="P24" s="29">
        <f t="shared" ca="1" si="1"/>
        <v>0.47192076584314169</v>
      </c>
    </row>
    <row r="25" spans="1:16" ht="18" customHeight="1">
      <c r="A25" s="189"/>
      <c r="B25" s="37" t="s">
        <v>154</v>
      </c>
      <c r="C25" s="38"/>
      <c r="D25" s="38">
        <f ca="1">2.52667773733372*OFFSET(D$113,MATCH($N$1,$C$113:$C$114,0)-1,0)</f>
        <v>2.5266777373337201</v>
      </c>
      <c r="E25" s="38">
        <f ca="1">1.68165813845644*OFFSET(E$113,MATCH($N$1,$C$113:$C$114,0)-1,0)</f>
        <v>1.68165813845644</v>
      </c>
      <c r="F25" s="38">
        <f ca="1">2.13381600602206*OFFSET(F$113,MATCH($N$1,$C$113:$C$114,0)-1,0)</f>
        <v>2.1338160060220601</v>
      </c>
      <c r="G25" s="38">
        <f ca="1">2.31423964433964*OFFSET(G$113,MATCH($N$1,$C$113:$C$114,0)-1,0)</f>
        <v>2.31423964433964</v>
      </c>
      <c r="H25" s="38">
        <f ca="1">2.38114544174461*OFFSET(H$113,MATCH($N$1,$C$113:$C$114,0)-1,0)</f>
        <v>2.3811454417446098</v>
      </c>
      <c r="I25" s="38">
        <f ca="1">1.71480842290846*OFFSET(I$113,MATCH($N$1,$C$113:$C$114,0)-1,0)</f>
        <v>1.7148084229084599</v>
      </c>
      <c r="J25" s="38">
        <f ca="1">2.19709708461868*OFFSET(J$113,MATCH($N$1,$C$113:$C$114,0)-1,0)</f>
        <v>2.1970970846186799</v>
      </c>
      <c r="K25" s="38">
        <f ca="1">1.98950622573228*OFFSET(K$113,MATCH($N$1,$C$113:$C$114,0)-1,0)</f>
        <v>1.98950622573228</v>
      </c>
      <c r="L25" s="38">
        <f ca="1">2.37284384138435*OFFSET(L$113,MATCH($N$1,$C$113:$C$114,0)-1,0)</f>
        <v>2.3728438413843498</v>
      </c>
      <c r="M25" s="38">
        <f ca="1">1.49532161782544*OFFSET(M$113,MATCH($N$1,$C$113:$C$114,0)-1,0)</f>
        <v>1.49532161782544</v>
      </c>
      <c r="N25" s="38">
        <v>0.98668950649991649</v>
      </c>
      <c r="O25" s="29">
        <f t="shared" ca="1" si="0"/>
        <v>-0.60949135225249507</v>
      </c>
      <c r="P25" s="29">
        <f t="shared" ca="1" si="1"/>
        <v>-0.55091219527462865</v>
      </c>
    </row>
    <row r="26" spans="1:16" ht="18" customHeight="1">
      <c r="A26" s="189"/>
      <c r="B26" s="37" t="s">
        <v>207</v>
      </c>
      <c r="C26" s="33"/>
      <c r="D26" s="33">
        <f ca="1">82.06*OFFSET(D$113,MATCH($N$1,$C$113:$C$114,0)-1,0)</f>
        <v>82.06</v>
      </c>
      <c r="E26" s="33">
        <f ca="1">94.3*OFFSET(E$113,MATCH($N$1,$C$113:$C$114,0)-1,0)</f>
        <v>94.3</v>
      </c>
      <c r="F26" s="33">
        <f ca="1">116.97*OFFSET(F$113,MATCH($N$1,$C$113:$C$114,0)-1,0)</f>
        <v>116.97</v>
      </c>
      <c r="G26" s="33">
        <f ca="1">97.91*OFFSET(G$113,MATCH($N$1,$C$113:$C$114,0)-1,0)</f>
        <v>97.91</v>
      </c>
      <c r="H26" s="33">
        <f ca="1">71.26*OFFSET(H$113,MATCH($N$1,$C$113:$C$114,0)-1,0)</f>
        <v>71.260000000000005</v>
      </c>
      <c r="I26" s="33">
        <f ca="1">114.26*OFFSET(I$113,MATCH($N$1,$C$113:$C$114,0)-1,0)</f>
        <v>114.26</v>
      </c>
      <c r="J26" s="33">
        <f ca="1">116.38*OFFSET(J$113,MATCH($N$1,$C$113:$C$114,0)-1,0)</f>
        <v>116.38</v>
      </c>
      <c r="K26" s="33">
        <f ca="1">158*OFFSET(K$113,MATCH($N$1,$C$113:$C$114,0)-1,0)</f>
        <v>158</v>
      </c>
      <c r="L26" s="33">
        <f ca="1">110.5*OFFSET(L$113,MATCH($N$1,$C$113:$C$114,0)-1,0)</f>
        <v>110.5</v>
      </c>
      <c r="M26" s="33">
        <f ca="1">136.01*OFFSET(M$113,MATCH($N$1,$C$113:$C$114,0)-1,0)</f>
        <v>136.01</v>
      </c>
      <c r="N26" s="33">
        <v>155.94</v>
      </c>
      <c r="O26" s="29">
        <f t="shared" ca="1" si="0"/>
        <v>0.90031684133560796</v>
      </c>
      <c r="P26" s="29">
        <f t="shared" ca="1" si="1"/>
        <v>0.33992094861660083</v>
      </c>
    </row>
    <row r="27" spans="1:16" ht="18" customHeight="1">
      <c r="A27" s="190"/>
      <c r="B27" s="37" t="s">
        <v>208</v>
      </c>
      <c r="C27" s="33"/>
      <c r="D27" s="33">
        <f ca="1">19.04*OFFSET(D$113,MATCH($N$1,$C$113:$C$114,0)-1,0)</f>
        <v>19.04</v>
      </c>
      <c r="E27" s="33">
        <f ca="1">16.09*OFFSET(E$113,MATCH($N$1,$C$113:$C$114,0)-1,0)</f>
        <v>16.09</v>
      </c>
      <c r="F27" s="33">
        <f ca="1">22.31*OFFSET(F$113,MATCH($N$1,$C$113:$C$114,0)-1,0)</f>
        <v>22.31</v>
      </c>
      <c r="G27" s="33">
        <f ca="1">22.73*OFFSET(G$113,MATCH($N$1,$C$113:$C$114,0)-1,0)</f>
        <v>22.73</v>
      </c>
      <c r="H27" s="33">
        <f ca="1">16.21*OFFSET(H$113,MATCH($N$1,$C$113:$C$114,0)-1,0)</f>
        <v>16.21</v>
      </c>
      <c r="I27" s="33">
        <f ca="1">17.66*OFFSET(I$113,MATCH($N$1,$C$113:$C$114,0)-1,0)</f>
        <v>17.66</v>
      </c>
      <c r="J27" s="33">
        <f ca="1">22.45*OFFSET(J$113,MATCH($N$1,$C$113:$C$114,0)-1,0)</f>
        <v>22.45</v>
      </c>
      <c r="K27" s="33">
        <f ca="1">25.53*OFFSET(K$113,MATCH($N$1,$C$113:$C$114,0)-1,0)</f>
        <v>25.53</v>
      </c>
      <c r="L27" s="33">
        <f ca="1">24.32*OFFSET(L$113,MATCH($N$1,$C$113:$C$114,0)-1,0)</f>
        <v>24.32</v>
      </c>
      <c r="M27" s="33">
        <f ca="1">15.97*OFFSET(M$113,MATCH($N$1,$C$113:$C$114,0)-1,0)</f>
        <v>15.97</v>
      </c>
      <c r="N27" s="33">
        <v>10.43</v>
      </c>
      <c r="O27" s="34">
        <f t="shared" ca="1" si="0"/>
        <v>-0.45220588235294118</v>
      </c>
      <c r="P27" s="34">
        <f t="shared" ca="1" si="1"/>
        <v>-0.53541202672605792</v>
      </c>
    </row>
    <row r="28" spans="1:16" s="78" customFormat="1" ht="18" customHeight="1">
      <c r="A28" s="191" t="s">
        <v>209</v>
      </c>
      <c r="B28" s="82" t="s">
        <v>200</v>
      </c>
      <c r="C28" s="83"/>
      <c r="D28" s="83">
        <f ca="1">178*OFFSET(D$113,MATCH($N$1,$C$113:$C$114,0)-1,0)</f>
        <v>178</v>
      </c>
      <c r="E28" s="83">
        <f ca="1">143*OFFSET(E$113,MATCH($N$1,$C$113:$C$114,0)-1,0)</f>
        <v>143</v>
      </c>
      <c r="F28" s="83">
        <f ca="1">159.4*OFFSET(F$113,MATCH($N$1,$C$113:$C$114,0)-1,0)</f>
        <v>159.4</v>
      </c>
      <c r="G28" s="83">
        <f ca="1">146.9*OFFSET(G$113,MATCH($N$1,$C$113:$C$114,0)-1,0)</f>
        <v>146.9</v>
      </c>
      <c r="H28" s="83">
        <f ca="1">185.5*OFFSET(H$113,MATCH($N$1,$C$113:$C$114,0)-1,0)</f>
        <v>185.5</v>
      </c>
      <c r="I28" s="83">
        <f ca="1">163.7*OFFSET(I$113,MATCH($N$1,$C$113:$C$114,0)-1,0)</f>
        <v>163.69999999999999</v>
      </c>
      <c r="J28" s="83">
        <f ca="1">168.5*OFFSET(J$113,MATCH($N$1,$C$113:$C$114,0)-1,0)</f>
        <v>168.5</v>
      </c>
      <c r="K28" s="83">
        <f ca="1">189.4*OFFSET(K$113,MATCH($N$1,$C$113:$C$114,0)-1,0)</f>
        <v>189.4</v>
      </c>
      <c r="L28" s="83">
        <f ca="1">142.7*OFFSET(L$113,MATCH($N$1,$C$113:$C$114,0)-1,0)</f>
        <v>142.69999999999999</v>
      </c>
      <c r="M28" s="83">
        <f ca="1">175.4*OFFSET(M$113,MATCH($N$1,$C$113:$C$114,0)-1,0)</f>
        <v>175.4</v>
      </c>
      <c r="N28" s="83">
        <v>207.9</v>
      </c>
      <c r="O28" s="84">
        <f t="shared" ca="1" si="0"/>
        <v>0.16797752808988767</v>
      </c>
      <c r="P28" s="84">
        <f t="shared" ca="1" si="1"/>
        <v>0.23382789317507421</v>
      </c>
    </row>
    <row r="29" spans="1:16" s="78" customFormat="1" ht="18" customHeight="1">
      <c r="A29" s="192"/>
      <c r="B29" s="85" t="s">
        <v>210</v>
      </c>
      <c r="C29" s="86"/>
      <c r="D29" s="86">
        <f ca="1">6.7*OFFSET(D$113,MATCH($N$1,$C$113:$C$114,0)-1,0)</f>
        <v>6.7</v>
      </c>
      <c r="E29" s="86">
        <f ca="1">4.4*OFFSET(E$113,MATCH($N$1,$C$113:$C$114,0)-1,0)</f>
        <v>4.4000000000000004</v>
      </c>
      <c r="F29" s="86">
        <f ca="1">1.9*OFFSET(F$113,MATCH($N$1,$C$113:$C$114,0)-1,0)</f>
        <v>1.9</v>
      </c>
      <c r="G29" s="86">
        <f ca="1">8.5*OFFSET(G$113,MATCH($N$1,$C$113:$C$114,0)-1,0)</f>
        <v>8.5</v>
      </c>
      <c r="H29" s="86">
        <f ca="1">8.6*OFFSET(H$113,MATCH($N$1,$C$113:$C$114,0)-1,0)</f>
        <v>8.6</v>
      </c>
      <c r="I29" s="86">
        <f ca="1">7.1*OFFSET(I$113,MATCH($N$1,$C$113:$C$114,0)-1,0)</f>
        <v>7.1</v>
      </c>
      <c r="J29" s="86">
        <f ca="1">5.8*OFFSET(J$113,MATCH($N$1,$C$113:$C$114,0)-1,0)</f>
        <v>5.8</v>
      </c>
      <c r="K29" s="86">
        <f ca="1">9*OFFSET(K$113,MATCH($N$1,$C$113:$C$114,0)-1,0)</f>
        <v>9</v>
      </c>
      <c r="L29" s="86">
        <f ca="1">14.8*OFFSET(L$113,MATCH($N$1,$C$113:$C$114,0)-1,0)</f>
        <v>14.8</v>
      </c>
      <c r="M29" s="86">
        <f ca="1">4.8*OFFSET(M$113,MATCH($N$1,$C$113:$C$114,0)-1,0)</f>
        <v>4.8</v>
      </c>
      <c r="N29" s="86">
        <v>5.1000000000000005</v>
      </c>
      <c r="O29" s="84">
        <f t="shared" ca="1" si="0"/>
        <v>-0.23880597014925367</v>
      </c>
      <c r="P29" s="84">
        <f t="shared" ca="1" si="1"/>
        <v>-0.12068965517241367</v>
      </c>
    </row>
    <row r="30" spans="1:16" s="78" customFormat="1" ht="18" customHeight="1">
      <c r="A30" s="192"/>
      <c r="B30" s="87" t="s">
        <v>211</v>
      </c>
      <c r="C30" s="88"/>
      <c r="D30" s="88">
        <f ca="1">184.7*OFFSET(D$113,MATCH($N$1,$C$113:$C$114,0)-1,0)</f>
        <v>184.7</v>
      </c>
      <c r="E30" s="88">
        <f ca="1">147.4*OFFSET(E$113,MATCH($N$1,$C$113:$C$114,0)-1,0)</f>
        <v>147.4</v>
      </c>
      <c r="F30" s="88">
        <f ca="1">161.3*OFFSET(F$113,MATCH($N$1,$C$113:$C$114,0)-1,0)</f>
        <v>161.30000000000001</v>
      </c>
      <c r="G30" s="88">
        <f ca="1">155.4*OFFSET(G$113,MATCH($N$1,$C$113:$C$114,0)-1,0)</f>
        <v>155.4</v>
      </c>
      <c r="H30" s="88">
        <f ca="1">194.1*OFFSET(H$113,MATCH($N$1,$C$113:$C$114,0)-1,0)</f>
        <v>194.1</v>
      </c>
      <c r="I30" s="88">
        <f ca="1">170.8*OFFSET(I$113,MATCH($N$1,$C$113:$C$114,0)-1,0)</f>
        <v>170.8</v>
      </c>
      <c r="J30" s="88">
        <f ca="1">174.3*OFFSET(J$113,MATCH($N$1,$C$113:$C$114,0)-1,0)</f>
        <v>174.3</v>
      </c>
      <c r="K30" s="88">
        <f ca="1">198.3*OFFSET(K$113,MATCH($N$1,$C$113:$C$114,0)-1,0)</f>
        <v>198.3</v>
      </c>
      <c r="L30" s="88">
        <f ca="1">157.5*OFFSET(L$113,MATCH($N$1,$C$113:$C$114,0)-1,0)</f>
        <v>157.5</v>
      </c>
      <c r="M30" s="88">
        <f ca="1">180.2*OFFSET(M$113,MATCH($N$1,$C$113:$C$114,0)-1,0)</f>
        <v>180.2</v>
      </c>
      <c r="N30" s="88">
        <v>213</v>
      </c>
      <c r="O30" s="84">
        <f t="shared" ca="1" si="0"/>
        <v>0.15322144017325401</v>
      </c>
      <c r="P30" s="84">
        <f t="shared" ca="1" si="1"/>
        <v>0.22203098106712557</v>
      </c>
    </row>
    <row r="31" spans="1:16" s="78" customFormat="1" ht="18" customHeight="1">
      <c r="A31" s="192"/>
      <c r="B31" s="85" t="s">
        <v>212</v>
      </c>
      <c r="C31" s="86"/>
      <c r="D31" s="86">
        <f ca="1">39.4*OFFSET(D$113,MATCH($N$1,$C$113:$C$114,0)-1,0)</f>
        <v>39.4</v>
      </c>
      <c r="E31" s="86">
        <f ca="1">34.2*OFFSET(E$113,MATCH($N$1,$C$113:$C$114,0)-1,0)</f>
        <v>34.200000000000003</v>
      </c>
      <c r="F31" s="86">
        <f ca="1">30*OFFSET(F$113,MATCH($N$1,$C$113:$C$114,0)-1,0)</f>
        <v>30</v>
      </c>
      <c r="G31" s="86">
        <f ca="1">21.2*OFFSET(G$113,MATCH($N$1,$C$113:$C$114,0)-1,0)</f>
        <v>21.2</v>
      </c>
      <c r="H31" s="86">
        <f ca="1">24*OFFSET(H$113,MATCH($N$1,$C$113:$C$114,0)-1,0)</f>
        <v>24</v>
      </c>
      <c r="I31" s="86">
        <f ca="1">24.3*OFFSET(I$113,MATCH($N$1,$C$113:$C$114,0)-1,0)</f>
        <v>24.3</v>
      </c>
      <c r="J31" s="86">
        <f ca="1">28.9*OFFSET(J$113,MATCH($N$1,$C$113:$C$114,0)-1,0)</f>
        <v>28.9</v>
      </c>
      <c r="K31" s="86">
        <f ca="1">28.7*OFFSET(K$113,MATCH($N$1,$C$113:$C$114,0)-1,0)</f>
        <v>28.7</v>
      </c>
      <c r="L31" s="86">
        <f ca="1">17.2*OFFSET(L$113,MATCH($N$1,$C$113:$C$114,0)-1,0)</f>
        <v>17.2</v>
      </c>
      <c r="M31" s="86">
        <f ca="1">22.4*OFFSET(M$113,MATCH($N$1,$C$113:$C$114,0)-1,0)</f>
        <v>22.4</v>
      </c>
      <c r="N31" s="86">
        <v>40.5</v>
      </c>
      <c r="O31" s="84">
        <f t="shared" ca="1" si="0"/>
        <v>2.7918781725888363E-2</v>
      </c>
      <c r="P31" s="84">
        <f t="shared" ca="1" si="1"/>
        <v>0.40138408304498274</v>
      </c>
    </row>
    <row r="32" spans="1:16" s="78" customFormat="1" ht="18" customHeight="1">
      <c r="A32" s="192"/>
      <c r="B32" s="85" t="s">
        <v>213</v>
      </c>
      <c r="C32" s="86"/>
      <c r="D32" s="86">
        <f ca="1">53.6*OFFSET(D$113,MATCH($N$1,$C$113:$C$114,0)-1,0)</f>
        <v>53.6</v>
      </c>
      <c r="E32" s="86">
        <f ca="1">34.6*OFFSET(E$113,MATCH($N$1,$C$113:$C$114,0)-1,0)</f>
        <v>34.6</v>
      </c>
      <c r="F32" s="86">
        <f ca="1">41.2*OFFSET(F$113,MATCH($N$1,$C$113:$C$114,0)-1,0)</f>
        <v>41.2</v>
      </c>
      <c r="G32" s="86">
        <f ca="1">37.9*OFFSET(G$113,MATCH($N$1,$C$113:$C$114,0)-1,0)</f>
        <v>37.9</v>
      </c>
      <c r="H32" s="86">
        <f ca="1">54.1*OFFSET(H$113,MATCH($N$1,$C$113:$C$114,0)-1,0)</f>
        <v>54.1</v>
      </c>
      <c r="I32" s="86">
        <f ca="1">45.9*OFFSET(I$113,MATCH($N$1,$C$113:$C$114,0)-1,0)</f>
        <v>45.9</v>
      </c>
      <c r="J32" s="86">
        <f ca="1">47.4*OFFSET(J$113,MATCH($N$1,$C$113:$C$114,0)-1,0)</f>
        <v>47.4</v>
      </c>
      <c r="K32" s="86">
        <f ca="1">50.3*OFFSET(K$113,MATCH($N$1,$C$113:$C$114,0)-1,0)</f>
        <v>50.3</v>
      </c>
      <c r="L32" s="86">
        <f ca="1">32.4*OFFSET(L$113,MATCH($N$1,$C$113:$C$114,0)-1,0)</f>
        <v>32.4</v>
      </c>
      <c r="M32" s="86">
        <f ca="1">37.2*OFFSET(M$113,MATCH($N$1,$C$113:$C$114,0)-1,0)</f>
        <v>37.200000000000003</v>
      </c>
      <c r="N32" s="86">
        <v>40.200000000000003</v>
      </c>
      <c r="O32" s="84">
        <f t="shared" ca="1" si="0"/>
        <v>-0.24999999999999997</v>
      </c>
      <c r="P32" s="84">
        <f t="shared" ca="1" si="1"/>
        <v>-0.15189873417721511</v>
      </c>
    </row>
    <row r="33" spans="1:16" s="78" customFormat="1" ht="18" customHeight="1">
      <c r="A33" s="192"/>
      <c r="B33" s="85" t="s">
        <v>214</v>
      </c>
      <c r="C33" s="86"/>
      <c r="D33" s="86">
        <f ca="1">17.5*OFFSET(D$113,MATCH($N$1,$C$113:$C$114,0)-1,0)</f>
        <v>17.5</v>
      </c>
      <c r="E33" s="86">
        <f ca="1">15.8*OFFSET(E$113,MATCH($N$1,$C$113:$C$114,0)-1,0)</f>
        <v>15.8</v>
      </c>
      <c r="F33" s="86">
        <f ca="1">15*OFFSET(F$113,MATCH($N$1,$C$113:$C$114,0)-1,0)</f>
        <v>15</v>
      </c>
      <c r="G33" s="86">
        <f ca="1">17.4*OFFSET(G$113,MATCH($N$1,$C$113:$C$114,0)-1,0)</f>
        <v>17.399999999999999</v>
      </c>
      <c r="H33" s="86">
        <f ca="1">19.5*OFFSET(H$113,MATCH($N$1,$C$113:$C$114,0)-1,0)</f>
        <v>19.5</v>
      </c>
      <c r="I33" s="86">
        <f ca="1">20.8*OFFSET(I$113,MATCH($N$1,$C$113:$C$114,0)-1,0)</f>
        <v>20.8</v>
      </c>
      <c r="J33" s="86">
        <f ca="1">14.3*OFFSET(J$113,MATCH($N$1,$C$113:$C$114,0)-1,0)</f>
        <v>14.3</v>
      </c>
      <c r="K33" s="86">
        <f ca="1">20.1*OFFSET(K$113,MATCH($N$1,$C$113:$C$114,0)-1,0)</f>
        <v>20.100000000000001</v>
      </c>
      <c r="L33" s="86">
        <f ca="1">14.1*OFFSET(L$113,MATCH($N$1,$C$113:$C$114,0)-1,0)</f>
        <v>14.1</v>
      </c>
      <c r="M33" s="86">
        <f ca="1">22.5*OFFSET(M$113,MATCH($N$1,$C$113:$C$114,0)-1,0)</f>
        <v>22.5</v>
      </c>
      <c r="N33" s="86">
        <v>26.6</v>
      </c>
      <c r="O33" s="84">
        <f t="shared" ca="1" si="0"/>
        <v>0.52000000000000013</v>
      </c>
      <c r="P33" s="84">
        <f t="shared" ca="1" si="1"/>
        <v>0.8601398601398601</v>
      </c>
    </row>
    <row r="34" spans="1:16" s="78" customFormat="1" ht="18" customHeight="1">
      <c r="A34" s="192"/>
      <c r="B34" s="85" t="s">
        <v>215</v>
      </c>
      <c r="C34" s="86"/>
      <c r="D34" s="86">
        <f ca="1">110.5*OFFSET(D$113,MATCH($N$1,$C$113:$C$114,0)-1,0)</f>
        <v>110.5</v>
      </c>
      <c r="E34" s="86">
        <f ca="1">84.6*OFFSET(E$113,MATCH($N$1,$C$113:$C$114,0)-1,0)</f>
        <v>84.6</v>
      </c>
      <c r="F34" s="86">
        <f ca="1">86.1*OFFSET(F$113,MATCH($N$1,$C$113:$C$114,0)-1,0)</f>
        <v>86.1</v>
      </c>
      <c r="G34" s="86">
        <f ca="1">76.5*OFFSET(G$113,MATCH($N$1,$C$113:$C$114,0)-1,0)</f>
        <v>76.5</v>
      </c>
      <c r="H34" s="86">
        <f ca="1">97.6*OFFSET(H$113,MATCH($N$1,$C$113:$C$114,0)-1,0)</f>
        <v>97.6</v>
      </c>
      <c r="I34" s="86">
        <f ca="1">91*OFFSET(I$113,MATCH($N$1,$C$113:$C$114,0)-1,0)</f>
        <v>91</v>
      </c>
      <c r="J34" s="86">
        <f ca="1">90.6*OFFSET(J$113,MATCH($N$1,$C$113:$C$114,0)-1,0)</f>
        <v>90.6</v>
      </c>
      <c r="K34" s="86">
        <f ca="1">99.1*OFFSET(K$113,MATCH($N$1,$C$113:$C$114,0)-1,0)</f>
        <v>99.1</v>
      </c>
      <c r="L34" s="86">
        <f ca="1">63.6*OFFSET(L$113,MATCH($N$1,$C$113:$C$114,0)-1,0)</f>
        <v>63.6</v>
      </c>
      <c r="M34" s="86">
        <f ca="1">82.1*OFFSET(M$113,MATCH($N$1,$C$113:$C$114,0)-1,0)</f>
        <v>82.1</v>
      </c>
      <c r="N34" s="86">
        <v>107.3</v>
      </c>
      <c r="O34" s="84">
        <f t="shared" ca="1" si="0"/>
        <v>-2.8959276018099573E-2</v>
      </c>
      <c r="P34" s="84">
        <f t="shared" ca="1" si="1"/>
        <v>0.1843267108167771</v>
      </c>
    </row>
    <row r="35" spans="1:16" s="78" customFormat="1" ht="18" customHeight="1">
      <c r="A35" s="192"/>
      <c r="B35" s="85" t="s">
        <v>216</v>
      </c>
      <c r="C35" s="86"/>
      <c r="D35" s="86">
        <f ca="1">32.9*OFFSET(D$113,MATCH($N$1,$C$113:$C$114,0)-1,0)</f>
        <v>32.9</v>
      </c>
      <c r="E35" s="86">
        <f ca="1">38.4*OFFSET(E$113,MATCH($N$1,$C$113:$C$114,0)-1,0)</f>
        <v>38.4</v>
      </c>
      <c r="F35" s="86">
        <f ca="1">44.8*OFFSET(F$113,MATCH($N$1,$C$113:$C$114,0)-1,0)</f>
        <v>44.8</v>
      </c>
      <c r="G35" s="86">
        <f ca="1">44.8*OFFSET(G$113,MATCH($N$1,$C$113:$C$114,0)-1,0)</f>
        <v>44.8</v>
      </c>
      <c r="H35" s="86">
        <f ca="1">54.4*OFFSET(H$113,MATCH($N$1,$C$113:$C$114,0)-1,0)</f>
        <v>54.4</v>
      </c>
      <c r="I35" s="86">
        <f ca="1">54.5*OFFSET(I$113,MATCH($N$1,$C$113:$C$114,0)-1,0)</f>
        <v>54.5</v>
      </c>
      <c r="J35" s="86">
        <f ca="1">51.2*OFFSET(J$113,MATCH($N$1,$C$113:$C$114,0)-1,0)</f>
        <v>51.2</v>
      </c>
      <c r="K35" s="86">
        <f ca="1">68.7*OFFSET(K$113,MATCH($N$1,$C$113:$C$114,0)-1,0)</f>
        <v>68.7</v>
      </c>
      <c r="L35" s="86">
        <f ca="1">62.5*OFFSET(L$113,MATCH($N$1,$C$113:$C$114,0)-1,0)</f>
        <v>62.5</v>
      </c>
      <c r="M35" s="86">
        <f ca="1">77.5*OFFSET(M$113,MATCH($N$1,$C$113:$C$114,0)-1,0)</f>
        <v>77.5</v>
      </c>
      <c r="N35" s="86">
        <v>91.8</v>
      </c>
      <c r="O35" s="84">
        <f t="shared" ca="1" si="0"/>
        <v>1.790273556231003</v>
      </c>
      <c r="P35" s="84">
        <f t="shared" ca="1" si="1"/>
        <v>0.79296874999999989</v>
      </c>
    </row>
    <row r="36" spans="1:16" s="78" customFormat="1" ht="18" customHeight="1">
      <c r="A36" s="192"/>
      <c r="B36" s="85" t="s">
        <v>217</v>
      </c>
      <c r="C36" s="86"/>
      <c r="D36" s="86">
        <f ca="1">143.4*OFFSET(D$113,MATCH($N$1,$C$113:$C$114,0)-1,0)</f>
        <v>143.4</v>
      </c>
      <c r="E36" s="86">
        <f ca="1">123*OFFSET(E$113,MATCH($N$1,$C$113:$C$114,0)-1,0)</f>
        <v>123</v>
      </c>
      <c r="F36" s="86">
        <f ca="1">130.9*OFFSET(F$113,MATCH($N$1,$C$113:$C$114,0)-1,0)</f>
        <v>130.9</v>
      </c>
      <c r="G36" s="86">
        <f ca="1">121.3*OFFSET(G$113,MATCH($N$1,$C$113:$C$114,0)-1,0)</f>
        <v>121.3</v>
      </c>
      <c r="H36" s="86">
        <f ca="1">151.9*OFFSET(H$113,MATCH($N$1,$C$113:$C$114,0)-1,0)</f>
        <v>151.9</v>
      </c>
      <c r="I36" s="86">
        <f ca="1">145.5*OFFSET(I$113,MATCH($N$1,$C$113:$C$114,0)-1,0)</f>
        <v>145.5</v>
      </c>
      <c r="J36" s="86">
        <f ca="1">141.8*OFFSET(J$113,MATCH($N$1,$C$113:$C$114,0)-1,0)</f>
        <v>141.80000000000001</v>
      </c>
      <c r="K36" s="86">
        <f ca="1">167.8*OFFSET(K$113,MATCH($N$1,$C$113:$C$114,0)-1,0)</f>
        <v>167.8</v>
      </c>
      <c r="L36" s="86">
        <f ca="1">126.1*OFFSET(L$113,MATCH($N$1,$C$113:$C$114,0)-1,0)</f>
        <v>126.1</v>
      </c>
      <c r="M36" s="86">
        <f ca="1">159.6*OFFSET(M$113,MATCH($N$1,$C$113:$C$114,0)-1,0)</f>
        <v>159.6</v>
      </c>
      <c r="N36" s="86">
        <v>199.1</v>
      </c>
      <c r="O36" s="84">
        <f t="shared" ca="1" si="0"/>
        <v>0.38842398884239882</v>
      </c>
      <c r="P36" s="84">
        <f t="shared" ca="1" si="1"/>
        <v>0.40409026798307462</v>
      </c>
    </row>
    <row r="37" spans="1:16" s="78" customFormat="1" ht="18" customHeight="1">
      <c r="A37" s="192"/>
      <c r="B37" s="87" t="s">
        <v>218</v>
      </c>
      <c r="C37" s="88"/>
      <c r="D37" s="88">
        <f ca="1">94.9*OFFSET(D$113,MATCH($N$1,$C$113:$C$114,0)-1,0)</f>
        <v>94.9</v>
      </c>
      <c r="E37" s="88">
        <f ca="1">59*OFFSET(E$113,MATCH($N$1,$C$113:$C$114,0)-1,0)</f>
        <v>59</v>
      </c>
      <c r="F37" s="88">
        <f ca="1">71.6*OFFSET(F$113,MATCH($N$1,$C$113:$C$114,0)-1,0)</f>
        <v>71.599999999999994</v>
      </c>
      <c r="G37" s="88">
        <f ca="1">72*OFFSET(G$113,MATCH($N$1,$C$113:$C$114,0)-1,0)</f>
        <v>72</v>
      </c>
      <c r="H37" s="88">
        <f ca="1">96.3*OFFSET(H$113,MATCH($N$1,$C$113:$C$114,0)-1,0)</f>
        <v>96.3</v>
      </c>
      <c r="I37" s="88">
        <f ca="1">71.2*OFFSET(I$113,MATCH($N$1,$C$113:$C$114,0)-1,0)</f>
        <v>71.2</v>
      </c>
      <c r="J37" s="88">
        <f ca="1">79.9*OFFSET(J$113,MATCH($N$1,$C$113:$C$114,0)-1,0)</f>
        <v>79.900000000000006</v>
      </c>
      <c r="K37" s="88">
        <f ca="1">80.9*OFFSET(K$113,MATCH($N$1,$C$113:$C$114,0)-1,0)</f>
        <v>80.900000000000006</v>
      </c>
      <c r="L37" s="88">
        <f ca="1">63.8*OFFSET(L$113,MATCH($N$1,$C$113:$C$114,0)-1,0)</f>
        <v>63.8</v>
      </c>
      <c r="M37" s="88">
        <f ca="1">57.8*OFFSET(M$113,MATCH($N$1,$C$113:$C$114,0)-1,0)</f>
        <v>57.8</v>
      </c>
      <c r="N37" s="88">
        <v>54.1</v>
      </c>
      <c r="O37" s="84">
        <f t="shared" ca="1" si="0"/>
        <v>-0.42992623814541625</v>
      </c>
      <c r="P37" s="84">
        <f t="shared" ca="1" si="1"/>
        <v>-0.3229036295369212</v>
      </c>
    </row>
    <row r="38" spans="1:16" s="78" customFormat="1" ht="18" customHeight="1">
      <c r="A38" s="192"/>
      <c r="B38" s="87" t="s">
        <v>219</v>
      </c>
      <c r="C38" s="88"/>
      <c r="D38" s="88">
        <f ca="1">41.3*OFFSET(D$113,MATCH($N$1,$C$113:$C$114,0)-1,0)</f>
        <v>41.3</v>
      </c>
      <c r="E38" s="88">
        <f ca="1">24.4*OFFSET(E$113,MATCH($N$1,$C$113:$C$114,0)-1,0)</f>
        <v>24.4</v>
      </c>
      <c r="F38" s="88">
        <f ca="1">30.4*OFFSET(F$113,MATCH($N$1,$C$113:$C$114,0)-1,0)</f>
        <v>30.4</v>
      </c>
      <c r="G38" s="88">
        <f ca="1">34.1*OFFSET(G$113,MATCH($N$1,$C$113:$C$114,0)-1,0)</f>
        <v>34.1</v>
      </c>
      <c r="H38" s="88">
        <f ca="1">42.2*OFFSET(H$113,MATCH($N$1,$C$113:$C$114,0)-1,0)</f>
        <v>42.2</v>
      </c>
      <c r="I38" s="88">
        <f ca="1">25.3*OFFSET(I$113,MATCH($N$1,$C$113:$C$114,0)-1,0)</f>
        <v>25.3</v>
      </c>
      <c r="J38" s="88">
        <f ca="1">32.5*OFFSET(J$113,MATCH($N$1,$C$113:$C$114,0)-1,0)</f>
        <v>32.5</v>
      </c>
      <c r="K38" s="88">
        <f ca="1">30.6*OFFSET(K$113,MATCH($N$1,$C$113:$C$114,0)-1,0)</f>
        <v>30.6</v>
      </c>
      <c r="L38" s="88">
        <f ca="1">31.4*OFFSET(L$113,MATCH($N$1,$C$113:$C$114,0)-1,0)</f>
        <v>31.4</v>
      </c>
      <c r="M38" s="88">
        <f ca="1">20.6*OFFSET(M$113,MATCH($N$1,$C$113:$C$114,0)-1,0)</f>
        <v>20.6</v>
      </c>
      <c r="N38" s="88">
        <v>13.9</v>
      </c>
      <c r="O38" s="84">
        <f t="shared" ca="1" si="0"/>
        <v>-0.66343825665859568</v>
      </c>
      <c r="P38" s="84">
        <f t="shared" ca="1" si="1"/>
        <v>-0.57230769230769241</v>
      </c>
    </row>
    <row r="39" spans="1:16" s="78" customFormat="1" ht="18" customHeight="1">
      <c r="A39" s="192"/>
      <c r="B39" s="85" t="s">
        <v>220</v>
      </c>
      <c r="C39" s="86"/>
      <c r="D39" s="86">
        <f ca="1">8.4*OFFSET(D$113,MATCH($N$1,$C$113:$C$114,0)-1,0)</f>
        <v>8.4</v>
      </c>
      <c r="E39" s="86">
        <f ca="1">10.1*OFFSET(E$113,MATCH($N$1,$C$113:$C$114,0)-1,0)</f>
        <v>10.1</v>
      </c>
      <c r="F39" s="86">
        <f ca="1">8.3*OFFSET(F$113,MATCH($N$1,$C$113:$C$114,0)-1,0)</f>
        <v>8.3000000000000007</v>
      </c>
      <c r="G39" s="86">
        <f ca="1">10.1*OFFSET(G$113,MATCH($N$1,$C$113:$C$114,0)-1,0)</f>
        <v>10.1</v>
      </c>
      <c r="H39" s="86">
        <f ca="1">10.4*OFFSET(H$113,MATCH($N$1,$C$113:$C$114,0)-1,0)</f>
        <v>10.4</v>
      </c>
      <c r="I39" s="86">
        <f ca="1">8.1*OFFSET(I$113,MATCH($N$1,$C$113:$C$114,0)-1,0)</f>
        <v>8.1</v>
      </c>
      <c r="J39" s="86">
        <f ca="1">9.6*OFFSET(J$113,MATCH($N$1,$C$113:$C$114,0)-1,0)</f>
        <v>9.6</v>
      </c>
      <c r="K39" s="86">
        <f ca="1">15.8*OFFSET(K$113,MATCH($N$1,$C$113:$C$114,0)-1,0)</f>
        <v>15.8</v>
      </c>
      <c r="L39" s="86">
        <f ca="1">18.7*OFFSET(L$113,MATCH($N$1,$C$113:$C$114,0)-1,0)</f>
        <v>18.7</v>
      </c>
      <c r="M39" s="86">
        <f ca="1">13.5*OFFSET(M$113,MATCH($N$1,$C$113:$C$114,0)-1,0)</f>
        <v>13.5</v>
      </c>
      <c r="N39" s="86"/>
      <c r="O39" s="84" t="str">
        <f t="shared" si="0"/>
        <v/>
      </c>
      <c r="P39" s="84" t="str">
        <f t="shared" si="1"/>
        <v/>
      </c>
    </row>
    <row r="40" spans="1:16" s="78" customFormat="1" ht="18" customHeight="1">
      <c r="A40" s="192"/>
      <c r="B40" s="85" t="s">
        <v>221</v>
      </c>
      <c r="C40" s="86"/>
      <c r="D40" s="86">
        <f ca="1">1.3*OFFSET(D$113,MATCH($N$1,$C$113:$C$114,0)-1,0)</f>
        <v>1.3</v>
      </c>
      <c r="E40" s="86">
        <f ca="1">2.9*OFFSET(E$113,MATCH($N$1,$C$113:$C$114,0)-1,0)</f>
        <v>2.9</v>
      </c>
      <c r="F40" s="86">
        <f ca="1">1.8*OFFSET(F$113,MATCH($N$1,$C$113:$C$114,0)-1,0)</f>
        <v>1.8</v>
      </c>
      <c r="G40" s="86">
        <f ca="1">2.6*OFFSET(G$113,MATCH($N$1,$C$113:$C$114,0)-1,0)</f>
        <v>2.6</v>
      </c>
      <c r="H40" s="86">
        <f ca="1">2.3*OFFSET(H$113,MATCH($N$1,$C$113:$C$114,0)-1,0)</f>
        <v>2.2999999999999998</v>
      </c>
      <c r="I40" s="86">
        <f ca="1">2.3*OFFSET(I$113,MATCH($N$1,$C$113:$C$114,0)-1,0)</f>
        <v>2.2999999999999998</v>
      </c>
      <c r="J40" s="86">
        <f ca="1">4.1*OFFSET(J$113,MATCH($N$1,$C$113:$C$114,0)-1,0)</f>
        <v>4.0999999999999996</v>
      </c>
      <c r="K40" s="86">
        <f ca="1">4.4*OFFSET(K$113,MATCH($N$1,$C$113:$C$114,0)-1,0)</f>
        <v>4.4000000000000004</v>
      </c>
      <c r="L40" s="86">
        <f ca="1">2.6*OFFSET(L$113,MATCH($N$1,$C$113:$C$114,0)-1,0)</f>
        <v>2.6</v>
      </c>
      <c r="M40" s="86">
        <f ca="1">4*OFFSET(M$113,MATCH($N$1,$C$113:$C$114,0)-1,0)</f>
        <v>4</v>
      </c>
      <c r="N40" s="86"/>
      <c r="O40" s="84" t="str">
        <f t="shared" si="0"/>
        <v/>
      </c>
      <c r="P40" s="84" t="str">
        <f t="shared" si="1"/>
        <v/>
      </c>
    </row>
    <row r="41" spans="1:16" s="78" customFormat="1" ht="18" customHeight="1">
      <c r="A41" s="192"/>
      <c r="B41" s="85" t="s">
        <v>222</v>
      </c>
      <c r="C41" s="86"/>
      <c r="D41" s="86">
        <f ca="1">0.5*OFFSET(D$113,MATCH($N$1,$C$113:$C$114,0)-1,0)</f>
        <v>0.5</v>
      </c>
      <c r="E41" s="86">
        <f ca="1">0.3*OFFSET(E$113,MATCH($N$1,$C$113:$C$114,0)-1,0)</f>
        <v>0.3</v>
      </c>
      <c r="F41" s="86">
        <f ca="1">0.3*OFFSET(F$113,MATCH($N$1,$C$113:$C$114,0)-1,0)</f>
        <v>0.3</v>
      </c>
      <c r="G41" s="86">
        <f ca="1">0.7*OFFSET(G$113,MATCH($N$1,$C$113:$C$114,0)-1,0)</f>
        <v>0.7</v>
      </c>
      <c r="H41" s="86">
        <f ca="1">1.1*OFFSET(H$113,MATCH($N$1,$C$113:$C$114,0)-1,0)</f>
        <v>1.1000000000000001</v>
      </c>
      <c r="I41" s="86">
        <f ca="1">0.7*OFFSET(I$113,MATCH($N$1,$C$113:$C$114,0)-1,0)</f>
        <v>0.7</v>
      </c>
      <c r="J41" s="86">
        <f ca="1">0.8*OFFSET(J$113,MATCH($N$1,$C$113:$C$114,0)-1,0)</f>
        <v>0.8</v>
      </c>
      <c r="K41" s="86">
        <f ca="1">0.4*OFFSET(K$113,MATCH($N$1,$C$113:$C$114,0)-1,0)</f>
        <v>0.4</v>
      </c>
      <c r="L41" s="86">
        <f ca="1">0.5*OFFSET(L$113,MATCH($N$1,$C$113:$C$114,0)-1,0)</f>
        <v>0.5</v>
      </c>
      <c r="M41" s="86">
        <f ca="1">0.9*OFFSET(M$113,MATCH($N$1,$C$113:$C$114,0)-1,0)</f>
        <v>0.9</v>
      </c>
      <c r="N41" s="86"/>
      <c r="O41" s="84" t="str">
        <f t="shared" si="0"/>
        <v/>
      </c>
      <c r="P41" s="84" t="str">
        <f t="shared" si="1"/>
        <v/>
      </c>
    </row>
    <row r="42" spans="1:16" s="78" customFormat="1" ht="18" customHeight="1" thickBot="1">
      <c r="A42" s="193"/>
      <c r="B42" s="89" t="s">
        <v>223</v>
      </c>
      <c r="C42" s="90"/>
      <c r="D42" s="90">
        <f ca="1">31.1*OFFSET(D$113,MATCH($N$1,$C$113:$C$114,0)-1,0)</f>
        <v>31.1</v>
      </c>
      <c r="E42" s="90">
        <f ca="1">11.1*OFFSET(E$113,MATCH($N$1,$C$113:$C$114,0)-1,0)</f>
        <v>11.1</v>
      </c>
      <c r="F42" s="90">
        <f ca="1">20*OFFSET(F$113,MATCH($N$1,$C$113:$C$114,0)-1,0)</f>
        <v>20</v>
      </c>
      <c r="G42" s="90">
        <f ca="1">20.7*OFFSET(G$113,MATCH($N$1,$C$113:$C$114,0)-1,0)</f>
        <v>20.7</v>
      </c>
      <c r="H42" s="90">
        <f ca="1">28.5*OFFSET(H$113,MATCH($N$1,$C$113:$C$114,0)-1,0)</f>
        <v>28.5</v>
      </c>
      <c r="I42" s="90">
        <f ca="1">14.2*OFFSET(I$113,MATCH($N$1,$C$113:$C$114,0)-1,0)</f>
        <v>14.2</v>
      </c>
      <c r="J42" s="90">
        <f ca="1">18*OFFSET(J$113,MATCH($N$1,$C$113:$C$114,0)-1,0)</f>
        <v>18</v>
      </c>
      <c r="K42" s="90">
        <f ca="1">10*OFFSET(K$113,MATCH($N$1,$C$113:$C$114,0)-1,0)</f>
        <v>10</v>
      </c>
      <c r="L42" s="90">
        <f ca="1">9.5*OFFSET(L$113,MATCH($N$1,$C$113:$C$114,0)-1,0)</f>
        <v>9.5</v>
      </c>
      <c r="M42" s="90">
        <f ca="1">2.2*OFFSET(M$113,MATCH($N$1,$C$113:$C$114,0)-1,0)</f>
        <v>2.2000000000000002</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171</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UK scallop dredge under 15m</v>
      </c>
      <c r="C49" s="101"/>
      <c r="D49" s="101"/>
      <c r="E49" s="101"/>
      <c r="F49" s="101"/>
      <c r="G49" s="101"/>
      <c r="K49" s="101" t="str">
        <f>$B25&amp;CHAR(10)&amp;$A$1</f>
        <v>Operating profit per kW day at sea (£)
UK scallop dredge under 15m</v>
      </c>
    </row>
    <row r="50" spans="1:11" s="78" customFormat="1">
      <c r="A50" s="101" t="str">
        <f>$B23&amp;CHAR(10)&amp;$A$1</f>
        <v>Fishing income per kW day at sea (£)
UK scallop dredge under 15m</v>
      </c>
    </row>
    <row r="51" spans="1:11" s="78" customFormat="1">
      <c r="A51" s="101" t="str">
        <f>$B21&amp;CHAR(10)&amp;$A$1</f>
        <v>Average price per tonne landed (£)
UK scallop dredge under 15m</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UK scallop dredge under 15m</v>
      </c>
      <c r="F63" s="101" t="str">
        <f>$B21&amp;CHAR(10)&amp;$A$1</f>
        <v>Average price per tonne landed (£)
UK scallop dredge under 15m</v>
      </c>
      <c r="K63" s="101" t="str">
        <f>"Average annual operating profit per vessel (£'000)"&amp;CHAR(10)&amp;$A$1</f>
        <v>Average annual operating profit per vessel (£'000)
UK scallop dredge under 15m</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UK scallop dredge under 15m</v>
      </c>
      <c r="F77" s="101" t="str">
        <f>"Top 5 landed species by value in "&amp;A78&amp;CHAR(10)&amp;A1</f>
        <v>Top 5 landed species by value in 2021
UK scallop dredge under 15m</v>
      </c>
    </row>
    <row r="78" spans="1:11" s="101" customFormat="1">
      <c r="A78" s="101">
        <v>2021</v>
      </c>
      <c r="B78" s="101" t="s">
        <v>569</v>
      </c>
      <c r="C78" s="102">
        <v>0.46358166013975832</v>
      </c>
      <c r="D78" s="103">
        <v>12153634</v>
      </c>
      <c r="G78" s="101" t="s">
        <v>570</v>
      </c>
      <c r="H78" s="102">
        <v>0.51113524315543957</v>
      </c>
      <c r="I78" s="103">
        <v>12153634</v>
      </c>
      <c r="K78" s="101" t="s">
        <v>237</v>
      </c>
    </row>
    <row r="79" spans="1:11" s="101" customFormat="1">
      <c r="B79" s="101" t="s">
        <v>571</v>
      </c>
      <c r="C79" s="102">
        <v>0.40550171086117315</v>
      </c>
      <c r="D79" s="103">
        <v>553960</v>
      </c>
      <c r="G79" s="101" t="s">
        <v>572</v>
      </c>
      <c r="H79" s="102">
        <v>0.31487064401069803</v>
      </c>
      <c r="I79" s="103">
        <v>553960</v>
      </c>
    </row>
    <row r="80" spans="1:11" s="101" customFormat="1">
      <c r="B80" s="101" t="s">
        <v>573</v>
      </c>
      <c r="C80" s="102">
        <v>3.5161229841220019E-2</v>
      </c>
      <c r="D80" s="103">
        <v>11115023</v>
      </c>
      <c r="G80" s="101" t="s">
        <v>574</v>
      </c>
      <c r="H80" s="102">
        <v>3.1280286503611039E-2</v>
      </c>
      <c r="I80" s="103">
        <v>3050596</v>
      </c>
    </row>
    <row r="81" spans="1:19" s="101" customFormat="1">
      <c r="B81" s="101" t="s">
        <v>575</v>
      </c>
      <c r="C81" s="102">
        <v>2.2063044332702907E-2</v>
      </c>
      <c r="D81" s="103">
        <v>2480382</v>
      </c>
      <c r="G81" s="101" t="s">
        <v>576</v>
      </c>
      <c r="H81" s="102">
        <v>3.1249840778540264E-2</v>
      </c>
      <c r="I81" s="103">
        <v>1692097</v>
      </c>
    </row>
    <row r="82" spans="1:19" s="101" customFormat="1">
      <c r="B82" s="101" t="s">
        <v>577</v>
      </c>
      <c r="C82" s="102">
        <v>1.5180193246685384E-2</v>
      </c>
      <c r="D82" s="103">
        <v>3050596</v>
      </c>
      <c r="G82" s="101" t="s">
        <v>578</v>
      </c>
      <c r="H82" s="102">
        <v>2.6135724950970118E-2</v>
      </c>
      <c r="I82" s="103">
        <v>3689192</v>
      </c>
    </row>
    <row r="83" spans="1:19" s="101" customFormat="1">
      <c r="B83" s="101" t="s">
        <v>579</v>
      </c>
      <c r="C83" s="102">
        <v>5.8512161578460176E-2</v>
      </c>
      <c r="D83" s="103">
        <v>5920853</v>
      </c>
      <c r="G83" s="101" t="s">
        <v>580</v>
      </c>
      <c r="H83" s="102">
        <v>8.5328260600740946E-2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176</v>
      </c>
      <c r="D93" s="107">
        <v>0.62817239922982482</v>
      </c>
      <c r="E93" s="107">
        <v>0.58764601005496475</v>
      </c>
      <c r="F93" s="107">
        <v>0.64152355260442473</v>
      </c>
      <c r="G93" s="107">
        <v>0.74474859810200267</v>
      </c>
      <c r="H93" s="107">
        <v>0.72075545795981943</v>
      </c>
      <c r="I93" s="107">
        <v>0.6684537411584851</v>
      </c>
      <c r="J93" s="107">
        <v>0.51563282680506617</v>
      </c>
      <c r="K93" s="107">
        <v>0.52241797444190474</v>
      </c>
      <c r="L93" s="107">
        <v>0.51113524315543957</v>
      </c>
      <c r="M93" s="107">
        <v>0.46897875453297028</v>
      </c>
      <c r="O93" s="101">
        <v>12153634</v>
      </c>
    </row>
    <row r="94" spans="1:19" s="101" customFormat="1" hidden="1">
      <c r="B94" s="101">
        <v>2</v>
      </c>
      <c r="C94" s="101" t="s">
        <v>384</v>
      </c>
      <c r="D94" s="107">
        <v>0.20863348629009296</v>
      </c>
      <c r="E94" s="107">
        <v>0.30023936520980943</v>
      </c>
      <c r="F94" s="107">
        <v>0.19686152009018201</v>
      </c>
      <c r="G94" s="107">
        <v>0.12225173817117883</v>
      </c>
      <c r="H94" s="107">
        <v>0.12055724959139828</v>
      </c>
      <c r="I94" s="107">
        <v>0.19798146267145555</v>
      </c>
      <c r="J94" s="107">
        <v>0.31624523803567939</v>
      </c>
      <c r="K94" s="107">
        <v>0.32116243626646218</v>
      </c>
      <c r="L94" s="107">
        <v>0.31487064401069803</v>
      </c>
      <c r="M94" s="107">
        <v>0.36099766620968715</v>
      </c>
      <c r="O94" s="101">
        <v>553960</v>
      </c>
    </row>
    <row r="95" spans="1:19" s="101" customFormat="1" hidden="1">
      <c r="B95" s="101">
        <v>3</v>
      </c>
      <c r="C95" s="101" t="s">
        <v>581</v>
      </c>
      <c r="D95" s="107">
        <v>1.2119588158582566E-2</v>
      </c>
      <c r="E95" s="107">
        <v>1.0334909089839974E-2</v>
      </c>
      <c r="F95" s="107">
        <v>2.5785374445804594E-2</v>
      </c>
      <c r="G95" s="107">
        <v>1.7776084358282769E-2</v>
      </c>
      <c r="H95" s="107">
        <v>1.8336353793447252E-2</v>
      </c>
      <c r="I95" s="107">
        <v>2.1108349993125816E-2</v>
      </c>
      <c r="J95" s="107">
        <v>2.1000933911881431E-2</v>
      </c>
      <c r="K95" s="107">
        <v>3.5554804360468678E-2</v>
      </c>
      <c r="L95" s="107">
        <v>3.1280286503611039E-2</v>
      </c>
      <c r="M95" s="107">
        <v>2.7483132605135411E-2</v>
      </c>
      <c r="O95" s="101">
        <v>3050596</v>
      </c>
    </row>
    <row r="96" spans="1:19" s="101" customFormat="1" hidden="1">
      <c r="B96" s="101">
        <v>4</v>
      </c>
      <c r="C96" s="101" t="s">
        <v>182</v>
      </c>
      <c r="D96" s="107"/>
      <c r="E96" s="107"/>
      <c r="F96" s="107"/>
      <c r="G96" s="107"/>
      <c r="H96" s="107"/>
      <c r="I96" s="107">
        <v>1.268155529860091E-2</v>
      </c>
      <c r="J96" s="107"/>
      <c r="K96" s="107"/>
      <c r="L96" s="107">
        <v>3.1249840778540264E-2</v>
      </c>
      <c r="M96" s="107">
        <v>2.882574558047787E-2</v>
      </c>
      <c r="O96" s="101">
        <v>1692097</v>
      </c>
    </row>
    <row r="97" spans="1:15" s="101" customFormat="1" hidden="1">
      <c r="B97" s="101">
        <v>5</v>
      </c>
      <c r="C97" s="101" t="s">
        <v>175</v>
      </c>
      <c r="D97" s="107">
        <v>1.0927562568264619E-2</v>
      </c>
      <c r="E97" s="107"/>
      <c r="F97" s="107"/>
      <c r="G97" s="107"/>
      <c r="H97" s="107"/>
      <c r="I97" s="107"/>
      <c r="J97" s="107">
        <v>2.2917875008696017E-2</v>
      </c>
      <c r="K97" s="107">
        <v>2.1638556074702057E-2</v>
      </c>
      <c r="L97" s="107">
        <v>2.6135724950970118E-2</v>
      </c>
      <c r="M97" s="107">
        <v>2.3772163997623302E-2</v>
      </c>
      <c r="O97" s="101">
        <v>3689192</v>
      </c>
    </row>
    <row r="98" spans="1:15" s="101" customFormat="1" hidden="1">
      <c r="B98" s="101">
        <v>6</v>
      </c>
      <c r="C98" s="101" t="s">
        <v>249</v>
      </c>
      <c r="D98" s="107">
        <v>6.689289940242453E-2</v>
      </c>
      <c r="E98" s="107">
        <v>3.5317946210666487E-2</v>
      </c>
      <c r="F98" s="107">
        <v>4.1250719681486053E-2</v>
      </c>
      <c r="G98" s="107">
        <v>4.1955790596132754E-2</v>
      </c>
      <c r="H98" s="107">
        <v>4.123756082028536E-2</v>
      </c>
      <c r="I98" s="107">
        <v>2.4486952070146485E-2</v>
      </c>
      <c r="J98" s="107"/>
      <c r="K98" s="107">
        <v>1.9363220159375145E-2</v>
      </c>
      <c r="L98" s="107"/>
      <c r="M98" s="107"/>
      <c r="O98" s="101">
        <v>11115023</v>
      </c>
    </row>
    <row r="99" spans="1:15" s="101" customFormat="1" hidden="1">
      <c r="B99" s="101">
        <v>7</v>
      </c>
      <c r="C99" s="101" t="s">
        <v>307</v>
      </c>
      <c r="D99" s="107"/>
      <c r="E99" s="107"/>
      <c r="F99" s="107">
        <v>2.7760692307386488E-2</v>
      </c>
      <c r="G99" s="107"/>
      <c r="H99" s="107">
        <v>1.553495050674023E-2</v>
      </c>
      <c r="I99" s="107"/>
      <c r="J99" s="107">
        <v>2.4127922406505208E-2</v>
      </c>
      <c r="K99" s="107"/>
      <c r="L99" s="107"/>
      <c r="M99" s="107"/>
      <c r="O99" s="101">
        <v>2480382</v>
      </c>
    </row>
    <row r="100" spans="1:15" s="101" customFormat="1" hidden="1">
      <c r="B100" s="101">
        <v>8</v>
      </c>
      <c r="C100" s="101" t="s">
        <v>159</v>
      </c>
      <c r="D100" s="107"/>
      <c r="E100" s="107">
        <v>7.6106346343076245E-3</v>
      </c>
      <c r="F100" s="107"/>
      <c r="G100" s="107">
        <v>1.3405314290943977E-2</v>
      </c>
      <c r="H100" s="107"/>
      <c r="I100" s="107"/>
      <c r="J100" s="107"/>
      <c r="K100" s="107"/>
      <c r="L100" s="107"/>
      <c r="M100" s="107"/>
      <c r="O100" s="101">
        <v>7434864</v>
      </c>
    </row>
    <row r="101" spans="1:15" s="101" customFormat="1" hidden="1">
      <c r="B101" s="101">
        <v>9</v>
      </c>
      <c r="C101" s="101" t="s">
        <v>251</v>
      </c>
      <c r="D101" s="107">
        <v>7.3254064350810527E-2</v>
      </c>
      <c r="E101" s="107">
        <v>5.8851134800411785E-2</v>
      </c>
      <c r="F101" s="107">
        <v>6.6818140870716108E-2</v>
      </c>
      <c r="G101" s="107">
        <v>5.9862474481459038E-2</v>
      </c>
      <c r="H101" s="107">
        <v>8.3578427328309404E-2</v>
      </c>
      <c r="I101" s="107">
        <v>7.52879388081861E-2</v>
      </c>
      <c r="J101" s="107">
        <v>0.10007520383217176</v>
      </c>
      <c r="K101" s="107">
        <v>7.9863008697087165E-2</v>
      </c>
      <c r="L101" s="107">
        <v>8.5328260600741015E-2</v>
      </c>
      <c r="M101" s="107">
        <v>8.9942537074106002E-2</v>
      </c>
      <c r="O101" s="101">
        <v>5920853</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10</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44</v>
      </c>
      <c r="D121" s="52">
        <v>86</v>
      </c>
      <c r="E121" s="52">
        <v>44</v>
      </c>
      <c r="F121" s="53">
        <v>174</v>
      </c>
    </row>
    <row r="122" spans="1:15" ht="18" customHeight="1">
      <c r="A122" s="186" t="s">
        <v>198</v>
      </c>
      <c r="B122" s="35" t="s">
        <v>199</v>
      </c>
      <c r="C122" s="54">
        <v>11.187273025512695</v>
      </c>
      <c r="D122" s="54">
        <v>11.48848819732666</v>
      </c>
      <c r="E122" s="54">
        <v>10.408409118652344</v>
      </c>
      <c r="F122" s="55">
        <v>11.139195442199707</v>
      </c>
    </row>
    <row r="123" spans="1:15" ht="18" customHeight="1">
      <c r="A123" s="187"/>
      <c r="B123" s="37" t="s">
        <v>190</v>
      </c>
      <c r="C123" s="56">
        <v>138.18182373046875</v>
      </c>
      <c r="D123" s="56">
        <v>147.47674560546875</v>
      </c>
      <c r="E123" s="56">
        <v>134.09091186523438</v>
      </c>
      <c r="F123" s="57">
        <v>141.74137878417969</v>
      </c>
    </row>
    <row r="124" spans="1:15" ht="18" customHeight="1">
      <c r="A124" s="187"/>
      <c r="B124" s="37" t="s">
        <v>191</v>
      </c>
      <c r="C124" s="56">
        <v>17.045454025268555</v>
      </c>
      <c r="D124" s="56">
        <v>21.988371849060059</v>
      </c>
      <c r="E124" s="56">
        <v>17.340909957885742</v>
      </c>
      <c r="F124" s="57">
        <v>19.56321907043457</v>
      </c>
    </row>
    <row r="125" spans="1:15" ht="18" customHeight="1">
      <c r="A125" s="187"/>
      <c r="B125" s="37" t="s">
        <v>192</v>
      </c>
      <c r="C125" s="56">
        <v>114.04867553710938</v>
      </c>
      <c r="D125" s="56">
        <v>120.63046264648438</v>
      </c>
      <c r="E125" s="56">
        <v>106.70974731445313</v>
      </c>
      <c r="F125" s="57">
        <v>115.4459228515625</v>
      </c>
    </row>
    <row r="126" spans="1:15" ht="18" customHeight="1">
      <c r="A126" s="187"/>
      <c r="B126" s="37" t="s">
        <v>193</v>
      </c>
      <c r="C126" s="33">
        <v>208.66256713867188</v>
      </c>
      <c r="D126" s="33">
        <v>74.714309692382813</v>
      </c>
      <c r="E126" s="33">
        <v>36.745162963867188</v>
      </c>
      <c r="F126" s="58">
        <v>98.984893798828125</v>
      </c>
    </row>
    <row r="127" spans="1:15" ht="18" customHeight="1">
      <c r="A127" s="187"/>
      <c r="B127" s="37" t="s">
        <v>200</v>
      </c>
      <c r="C127" s="33">
        <f ca="1">359.82478125*OFFSET($L$113,MATCH($N$1,$C$113:$C$114,0)-1,0)</f>
        <v>359.82478125</v>
      </c>
      <c r="D127" s="33">
        <f ca="1">140.13686328125*OFFSET($L$113,MATCH($N$1,$C$113:$C$114,0)-1,0)</f>
        <v>140.13686328124999</v>
      </c>
      <c r="E127" s="33">
        <f ca="1">60.04670703125*OFFSET($L$113,MATCH($N$1,$C$113:$C$114,0)-1,0)</f>
        <v>60.046707031250001</v>
      </c>
      <c r="F127" s="58">
        <f ca="1">175.437453125*OFFSET($L$113,MATCH($N$1,$C$113:$C$114,0)-1,0)</f>
        <v>175.43745312499999</v>
      </c>
    </row>
    <row r="128" spans="1:15" ht="18" customHeight="1">
      <c r="A128" s="187"/>
      <c r="B128" s="37" t="s">
        <v>195</v>
      </c>
      <c r="C128" s="56">
        <v>73.045455932617188</v>
      </c>
      <c r="D128" s="56">
        <v>99.197677612304688</v>
      </c>
      <c r="E128" s="56">
        <v>85.386360168457031</v>
      </c>
      <c r="F128" s="57">
        <v>89.091957092285156</v>
      </c>
    </row>
    <row r="129" spans="1:15" ht="18" customHeight="1">
      <c r="A129" s="187"/>
      <c r="B129" s="37" t="s">
        <v>201</v>
      </c>
      <c r="C129" s="56">
        <v>24.340909957885742</v>
      </c>
      <c r="D129" s="56">
        <v>26.372093200683594</v>
      </c>
      <c r="E129" s="56">
        <v>26.772727966308594</v>
      </c>
      <c r="F129" s="57">
        <v>25.959770202636719</v>
      </c>
    </row>
    <row r="130" spans="1:15" ht="18" customHeight="1">
      <c r="A130" s="187"/>
      <c r="B130" s="37" t="s">
        <v>202</v>
      </c>
      <c r="C130" s="59">
        <v>2.8566126823425293</v>
      </c>
      <c r="D130" s="59">
        <v>0.75318607744416688</v>
      </c>
      <c r="E130" s="59">
        <v>0.43033996224403381</v>
      </c>
      <c r="F130" s="60">
        <v>1.1110419034957886</v>
      </c>
    </row>
    <row r="131" spans="1:15" ht="18" customHeight="1">
      <c r="A131" s="188"/>
      <c r="B131" s="39" t="s">
        <v>203</v>
      </c>
      <c r="C131" s="40">
        <f ca="1">1724.43378888782*OFFSET($L$113,MATCH($N$1,$C$113:$C$114,0)-1,0)</f>
        <v>1724.4337888878199</v>
      </c>
      <c r="D131" s="40">
        <f ca="1">1875.63619149033*OFFSET($L$113,MATCH($N$1,$C$113:$C$114,0)-1,0)</f>
        <v>1875.63619149033</v>
      </c>
      <c r="E131" s="40">
        <f ca="1">1634.13908628725*OFFSET($L$113,MATCH($N$1,$C$113:$C$114,0)-1,0)</f>
        <v>1634.1390862872499</v>
      </c>
      <c r="F131" s="61">
        <f ca="1">1772*OFFSET($L$113,MATCH($N$1,$C$113:$C$114,0)-1,0)</f>
        <v>1772</v>
      </c>
    </row>
    <row r="132" spans="1:15" ht="18" customHeight="1">
      <c r="A132" s="198" t="s">
        <v>204</v>
      </c>
      <c r="B132" s="35" t="s">
        <v>205</v>
      </c>
      <c r="C132" s="62">
        <v>20.029435129360508</v>
      </c>
      <c r="D132" s="62">
        <v>4.6134647782408944</v>
      </c>
      <c r="E132" s="62">
        <v>2.9571840239013918</v>
      </c>
      <c r="F132" s="63">
        <v>7.1827763403875489</v>
      </c>
    </row>
    <row r="133" spans="1:15" ht="18" customHeight="1">
      <c r="A133" s="199"/>
      <c r="B133" s="37" t="s">
        <v>206</v>
      </c>
      <c r="C133" s="59">
        <f ca="1">34.539434709406*OFFSET($L$113,MATCH($N$1,$C$113:$C$114,0)-1,0)</f>
        <v>34.539434709406002</v>
      </c>
      <c r="D133" s="59">
        <f ca="1">8.65318150623454*OFFSET($L$113,MATCH($N$1,$C$113:$C$114,0)-1,0)</f>
        <v>8.6531815062345405</v>
      </c>
      <c r="E133" s="59">
        <f ca="1">4.83244999880147*OFFSET($L$113,MATCH($N$1,$C$113:$C$114,0)-1,0)</f>
        <v>4.8324499988014704</v>
      </c>
      <c r="F133" s="60">
        <f ca="1">12.7305080519167*OFFSET($L$113,MATCH($N$1,$C$113:$C$114,0)-1,0)</f>
        <v>12.730508051916701</v>
      </c>
    </row>
    <row r="134" spans="1:15" ht="18" customHeight="1">
      <c r="A134" s="199"/>
      <c r="B134" s="37" t="s">
        <v>153</v>
      </c>
      <c r="C134" s="59">
        <f ca="1">27.6218906144206*OFFSET($L$113,MATCH($N$1,$C$113:$C$114,0)-1,0)</f>
        <v>27.6218906144206</v>
      </c>
      <c r="D134" s="59">
        <f ca="1">8.13374729467755*OFFSET($L$113,MATCH($N$1,$C$113:$C$114,0)-1,0)</f>
        <v>8.1337472946775495</v>
      </c>
      <c r="E134" s="59">
        <f ca="1">5.39715335927654*OFFSET($L$113,MATCH($N$1,$C$113:$C$114,0)-1,0)</f>
        <v>5.3971533592765404</v>
      </c>
      <c r="F134" s="60">
        <f ca="1">11.2351864340913*OFFSET($L$113,MATCH($N$1,$C$113:$C$114,0)-1,0)</f>
        <v>11.2351864340913</v>
      </c>
    </row>
    <row r="135" spans="1:15" ht="18" customHeight="1">
      <c r="A135" s="200"/>
      <c r="B135" s="39" t="s">
        <v>154</v>
      </c>
      <c r="C135" s="64">
        <f ca="1">6.91754409498545*OFFSET($L$113,MATCH($N$1,$C$113:$C$114,0)-1,0)</f>
        <v>6.9175440949854501</v>
      </c>
      <c r="D135" s="64">
        <f ca="1">0.519434211556984*OFFSET($L$113,MATCH($N$1,$C$113:$C$114,0)-1,0)</f>
        <v>0.51943421155698399</v>
      </c>
      <c r="E135" s="64">
        <f ca="1">-0.564703360475073*OFFSET($L$113,MATCH($N$1,$C$113:$C$114,0)-1,0)</f>
        <v>-0.56470336047507297</v>
      </c>
      <c r="F135" s="65">
        <f ca="1">1.49532161782544*OFFSET($L$113,MATCH($N$1,$C$113:$C$114,0)-1,0)</f>
        <v>1.49532161782544</v>
      </c>
    </row>
    <row r="136" spans="1:15" ht="18" customHeight="1">
      <c r="A136" s="201" t="s">
        <v>260</v>
      </c>
      <c r="B136" s="37" t="s">
        <v>261</v>
      </c>
      <c r="C136" s="66">
        <f ca="1">17.113470703125*OFFSET($L$113,MATCH($N$1,$C$113:$C$114,0)-1,0)</f>
        <v>17.113470703125</v>
      </c>
      <c r="D136" s="66">
        <f ca="1">25.580541015625*OFFSET($L$113,MATCH($N$1,$C$113:$C$114,0)-1,0)</f>
        <v>25.580541015624998</v>
      </c>
      <c r="E136" s="66">
        <f ca="1">21.58225*OFFSET($L$113,MATCH($N$1,$C$113:$C$114,0)-1,0)</f>
        <v>21.582249999999998</v>
      </c>
      <c r="F136" s="67">
        <f ca="1">22.428380859375*OFFSET($L$113,MATCH($N$1,$C$113:$C$114,0)-1,0)</f>
        <v>22.428380859375</v>
      </c>
    </row>
    <row r="137" spans="1:15" ht="18" customHeight="1">
      <c r="A137" s="202"/>
      <c r="B137" s="37" t="s">
        <v>262</v>
      </c>
      <c r="C137" s="31">
        <v>35976.137611412909</v>
      </c>
      <c r="D137" s="31">
        <v>53877.327262228355</v>
      </c>
      <c r="E137" s="31">
        <v>45239.771991298534</v>
      </c>
      <c r="F137" s="68">
        <v>47166.379310344826</v>
      </c>
    </row>
    <row r="138" spans="1:15" ht="18" customHeight="1">
      <c r="A138" s="202"/>
      <c r="B138" s="37" t="s">
        <v>263</v>
      </c>
      <c r="C138" s="31">
        <v>492.51712036132813</v>
      </c>
      <c r="D138" s="31">
        <v>543.13093369783985</v>
      </c>
      <c r="E138" s="31">
        <v>529.8243408203125</v>
      </c>
      <c r="F138" s="68">
        <v>529.412353515625</v>
      </c>
    </row>
    <row r="139" spans="1:15" ht="18" customHeight="1">
      <c r="A139" s="202"/>
      <c r="B139" s="37" t="s">
        <v>264</v>
      </c>
      <c r="C139" s="31">
        <f ca="1">234.285219862435*OFFSET($L$113,MATCH($N$1,$C$113:$C$114,0)-1,0)</f>
        <v>234.28521986243501</v>
      </c>
      <c r="D139" s="31">
        <f ca="1">257.874394152671*OFFSET($L$113,MATCH($N$1,$C$113:$C$114,0)-1,0)</f>
        <v>257.87439415267102</v>
      </c>
      <c r="E139" s="31">
        <f ca="1">252.759925091324*OFFSET($L$113,MATCH($N$1,$C$113:$C$114,0)-1,0)</f>
        <v>252.75992509132399</v>
      </c>
      <c r="F139" s="68">
        <f ca="1">251.744170757667*OFFSET($L$113,MATCH($N$1,$C$113:$C$114,0)-1,0)</f>
        <v>251.74417075766701</v>
      </c>
      <c r="I139" s="43"/>
      <c r="L139" s="69" t="str">
        <f>C120</f>
        <v>Most
profitable
quartile</v>
      </c>
      <c r="M139" s="69" t="str">
        <f>D120</f>
        <v>Middle
two quartiles</v>
      </c>
      <c r="N139" s="69" t="str">
        <f>E120</f>
        <v>Least
profitable
quartile</v>
      </c>
      <c r="O139" s="69"/>
    </row>
    <row r="140" spans="1:15" ht="18" customHeight="1">
      <c r="A140" s="202"/>
      <c r="B140" s="37" t="s">
        <v>265</v>
      </c>
      <c r="C140" s="31">
        <f ca="1">82.0150491666856*OFFSET($L$113,MATCH($N$1,$C$113:$C$114,0)-1,0)</f>
        <v>82.0150491666856</v>
      </c>
      <c r="D140" s="31">
        <f ca="1">342.378068149815*OFFSET($L$113,MATCH($N$1,$C$113:$C$114,0)-1,0)</f>
        <v>342.37806814981502</v>
      </c>
      <c r="E140" s="31">
        <f ca="1">587.349415791749*OFFSET($L$113,MATCH($N$1,$C$113:$C$114,0)-1,0)</f>
        <v>587.34941579174904</v>
      </c>
      <c r="F140" s="68">
        <f ca="1">226.583875565471*OFFSET($L$113,MATCH($N$1,$C$113:$C$114,0)-1,0)</f>
        <v>226.583875565471</v>
      </c>
      <c r="I140" s="43"/>
      <c r="K140" s="69" t="s">
        <v>266</v>
      </c>
      <c r="L140" s="70">
        <f t="shared" ref="L140:M142" ca="1" si="2">C141</f>
        <v>370.58825000000002</v>
      </c>
      <c r="M140" s="70">
        <f t="shared" ca="1" si="2"/>
        <v>143.58993749999999</v>
      </c>
      <c r="N140" s="70">
        <f ca="1">E141</f>
        <v>61.526304687500001</v>
      </c>
      <c r="O140" s="70"/>
    </row>
    <row r="141" spans="1:15" ht="18" customHeight="1">
      <c r="A141" s="179" t="s">
        <v>267</v>
      </c>
      <c r="B141" s="35" t="s">
        <v>268</v>
      </c>
      <c r="C141" s="71">
        <f ca="1">370.58825*OFFSET($L$113,MATCH($N$1,$C$113:$C$114,0)-1,0)</f>
        <v>370.58825000000002</v>
      </c>
      <c r="D141" s="71">
        <f ca="1">143.5899375*OFFSET($L$113,MATCH($N$1,$C$113:$C$114,0)-1,0)</f>
        <v>143.58993749999999</v>
      </c>
      <c r="E141" s="71">
        <f ca="1">61.5263046875*OFFSET($L$113,MATCH($N$1,$C$113:$C$114,0)-1,0)</f>
        <v>61.526304687500001</v>
      </c>
      <c r="F141" s="72">
        <f ca="1">180.24009375*OFFSET($L$113,MATCH($N$1,$C$113:$C$114,0)-1,0)</f>
        <v>180.24009375</v>
      </c>
      <c r="I141" s="43"/>
      <c r="K141" s="69" t="s">
        <v>269</v>
      </c>
      <c r="L141" s="70">
        <f t="shared" ca="1" si="2"/>
        <v>298.52268750000002</v>
      </c>
      <c r="M141" s="70">
        <f t="shared" ca="1" si="2"/>
        <v>135.17778515625</v>
      </c>
      <c r="N141" s="70">
        <f ca="1">E142</f>
        <v>68.543156249999996</v>
      </c>
      <c r="O141" s="70"/>
    </row>
    <row r="142" spans="1:15" ht="18" customHeight="1">
      <c r="A142" s="180"/>
      <c r="B142" s="37" t="s">
        <v>270</v>
      </c>
      <c r="C142" s="31">
        <f ca="1">298.5226875*OFFSET($L$113,MATCH($N$1,$C$113:$C$114,0)-1,0)</f>
        <v>298.52268750000002</v>
      </c>
      <c r="D142" s="31">
        <f ca="1">135.17778515625*OFFSET($L$113,MATCH($N$1,$C$113:$C$114,0)-1,0)</f>
        <v>135.17778515625</v>
      </c>
      <c r="E142" s="31">
        <f ca="1">68.54315625*OFFSET($L$113,MATCH($N$1,$C$113:$C$114,0)-1,0)</f>
        <v>68.543156249999996</v>
      </c>
      <c r="F142" s="68">
        <f ca="1">159.633265625*OFFSET($L$113,MATCH($N$1,$C$113:$C$114,0)-1,0)</f>
        <v>159.63326562500001</v>
      </c>
      <c r="I142" s="43"/>
      <c r="K142" s="69" t="s">
        <v>271</v>
      </c>
      <c r="L142" s="70">
        <f t="shared" ca="1" si="2"/>
        <v>72.065562499999999</v>
      </c>
      <c r="M142" s="70">
        <f t="shared" ca="1" si="2"/>
        <v>8.4121523437499999</v>
      </c>
      <c r="N142" s="70">
        <f ca="1">E143</f>
        <v>-7.0168515625000003</v>
      </c>
      <c r="O142" s="70"/>
    </row>
    <row r="143" spans="1:15" ht="18" customHeight="1">
      <c r="A143" s="181"/>
      <c r="B143" s="39" t="s">
        <v>272</v>
      </c>
      <c r="C143" s="40">
        <f ca="1">72.0655625*OFFSET($L$113,MATCH($N$1,$C$113:$C$114,0)-1,0)</f>
        <v>72.065562499999999</v>
      </c>
      <c r="D143" s="40">
        <f ca="1">8.41215234375*OFFSET($L$113,MATCH($N$1,$C$113:$C$114,0)-1,0)</f>
        <v>8.4121523437499999</v>
      </c>
      <c r="E143" s="40">
        <f ca="1">-7.0168515625*OFFSET($L$113,MATCH($N$1,$C$113:$C$114,0)-1,0)</f>
        <v>-7.0168515625000003</v>
      </c>
      <c r="F143" s="61">
        <f ca="1">20.606830078125*OFFSET($L$113,MATCH($N$1,$C$113:$C$114,0)-1,0)</f>
        <v>20.606830078125</v>
      </c>
      <c r="I143" s="43"/>
      <c r="K143" s="69" t="s">
        <v>273</v>
      </c>
      <c r="L143" s="73">
        <f ca="1">IFERROR(L141/L$140,"")</f>
        <v>0.80553737874851672</v>
      </c>
      <c r="M143" s="73">
        <f t="shared" ref="M143:N144" ca="1" si="3">IFERROR(M141/M$140,"")</f>
        <v>0.9414154467213276</v>
      </c>
      <c r="N143" s="73">
        <f t="shared" ca="1" si="3"/>
        <v>1.1140463676168995</v>
      </c>
      <c r="O143" s="73"/>
    </row>
    <row r="144" spans="1:15" ht="18" customHeight="1">
      <c r="I144" s="43"/>
      <c r="K144" s="69" t="s">
        <v>274</v>
      </c>
      <c r="L144" s="73">
        <f ca="1">IFERROR(L142/L$140,"")</f>
        <v>0.19446262125148328</v>
      </c>
      <c r="M144" s="73">
        <f t="shared" ca="1" si="3"/>
        <v>5.8584553278672472E-2</v>
      </c>
      <c r="N144" s="73">
        <f t="shared" ca="1" si="3"/>
        <v>-0.11404636761689964</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11</v>
      </c>
      <c r="B162" s="48"/>
      <c r="C162" s="74" t="s">
        <v>255</v>
      </c>
      <c r="D162" s="74" t="s">
        <v>276</v>
      </c>
      <c r="E162" s="74" t="s">
        <v>257</v>
      </c>
      <c r="F162" s="74" t="s">
        <v>277</v>
      </c>
      <c r="G162" s="75">
        <v>11</v>
      </c>
      <c r="H162" s="74"/>
      <c r="I162" s="74" t="s">
        <v>255</v>
      </c>
      <c r="J162" s="74" t="s">
        <v>276</v>
      </c>
      <c r="K162" s="74" t="s">
        <v>257</v>
      </c>
      <c r="L162" s="48" t="s">
        <v>277</v>
      </c>
      <c r="R162" s="21"/>
      <c r="S162" s="21"/>
    </row>
    <row r="163" spans="1:19" s="43" customFormat="1">
      <c r="A163" s="44">
        <v>1</v>
      </c>
      <c r="B163" s="48" t="s">
        <v>176</v>
      </c>
      <c r="C163" s="48">
        <v>0.2101414710268073</v>
      </c>
      <c r="D163" s="48">
        <v>0.80190893777594274</v>
      </c>
      <c r="E163" s="48">
        <v>0.64923345686179423</v>
      </c>
      <c r="F163" s="44">
        <v>12153634</v>
      </c>
      <c r="G163" s="44">
        <v>1</v>
      </c>
      <c r="H163" s="48" t="s">
        <v>176</v>
      </c>
      <c r="I163" s="48">
        <v>0.24736959540161341</v>
      </c>
      <c r="J163" s="48">
        <v>0.84017333264511951</v>
      </c>
      <c r="K163" s="48">
        <v>0.72748557329735475</v>
      </c>
      <c r="L163" s="44">
        <v>12153634</v>
      </c>
      <c r="R163" s="21"/>
      <c r="S163" s="21"/>
    </row>
    <row r="164" spans="1:19" s="43" customFormat="1">
      <c r="A164" s="44">
        <v>2</v>
      </c>
      <c r="B164" s="48" t="s">
        <v>249</v>
      </c>
      <c r="C164" s="48">
        <v>0</v>
      </c>
      <c r="D164" s="48">
        <v>7.7203821903546105E-2</v>
      </c>
      <c r="E164" s="48">
        <v>7.6489531187557663E-2</v>
      </c>
      <c r="F164" s="44">
        <v>11115023</v>
      </c>
      <c r="G164" s="44">
        <v>2</v>
      </c>
      <c r="H164" s="48" t="s">
        <v>175</v>
      </c>
      <c r="I164" s="48">
        <v>0</v>
      </c>
      <c r="J164" s="48">
        <v>3.7848327220347991E-2</v>
      </c>
      <c r="K164" s="48">
        <v>0</v>
      </c>
      <c r="L164" s="44">
        <v>3689192</v>
      </c>
      <c r="N164" s="43" t="s">
        <v>278</v>
      </c>
      <c r="R164" s="21"/>
      <c r="S164" s="21"/>
    </row>
    <row r="165" spans="1:19" s="43" customFormat="1">
      <c r="A165" s="44">
        <v>3</v>
      </c>
      <c r="B165" s="48" t="s">
        <v>384</v>
      </c>
      <c r="C165" s="48">
        <v>0.71271486329682887</v>
      </c>
      <c r="D165" s="48">
        <v>3.2120409952279126E-2</v>
      </c>
      <c r="E165" s="48">
        <v>0.14848582880681291</v>
      </c>
      <c r="F165" s="44">
        <v>553960</v>
      </c>
      <c r="G165" s="44">
        <v>3</v>
      </c>
      <c r="H165" s="48" t="s">
        <v>249</v>
      </c>
      <c r="I165" s="48">
        <v>0</v>
      </c>
      <c r="J165" s="48">
        <v>2.9440103091585137E-2</v>
      </c>
      <c r="K165" s="48">
        <v>3.2325327812709817E-2</v>
      </c>
      <c r="L165" s="44">
        <v>11115023</v>
      </c>
      <c r="N165" s="43" t="s">
        <v>279</v>
      </c>
      <c r="R165" s="21"/>
      <c r="S165" s="21"/>
    </row>
    <row r="166" spans="1:19" s="43" customFormat="1">
      <c r="A166" s="44">
        <v>4</v>
      </c>
      <c r="B166" s="48" t="s">
        <v>351</v>
      </c>
      <c r="C166" s="48">
        <v>0</v>
      </c>
      <c r="D166" s="48">
        <v>2.0367892667996278E-2</v>
      </c>
      <c r="E166" s="48">
        <v>0</v>
      </c>
      <c r="F166" s="44">
        <v>7434864</v>
      </c>
      <c r="G166" s="44">
        <v>4</v>
      </c>
      <c r="H166" s="48" t="s">
        <v>581</v>
      </c>
      <c r="I166" s="48">
        <v>3.5173291777787309E-2</v>
      </c>
      <c r="J166" s="48">
        <v>2.5324343325516037E-2</v>
      </c>
      <c r="K166" s="48">
        <v>3.9239337858300902E-2</v>
      </c>
      <c r="L166" s="44">
        <v>3050596</v>
      </c>
      <c r="R166" s="21"/>
      <c r="S166" s="21"/>
    </row>
    <row r="167" spans="1:19" s="43" customFormat="1">
      <c r="A167" s="44">
        <v>5</v>
      </c>
      <c r="B167" s="48" t="s">
        <v>280</v>
      </c>
      <c r="C167" s="48">
        <v>0</v>
      </c>
      <c r="D167" s="48">
        <v>1.6439289230116044E-2</v>
      </c>
      <c r="E167" s="48">
        <v>2.4895050639420793E-2</v>
      </c>
      <c r="F167" s="44">
        <v>8497745</v>
      </c>
      <c r="G167" s="44">
        <v>5</v>
      </c>
      <c r="H167" s="48" t="s">
        <v>161</v>
      </c>
      <c r="I167" s="48">
        <v>0</v>
      </c>
      <c r="J167" s="48">
        <v>1.6653915759995697E-2</v>
      </c>
      <c r="K167" s="48">
        <v>0</v>
      </c>
      <c r="L167" s="44">
        <v>14393110</v>
      </c>
      <c r="R167" s="21"/>
      <c r="S167" s="21"/>
    </row>
    <row r="168" spans="1:19" s="43" customFormat="1">
      <c r="A168" s="44">
        <v>6</v>
      </c>
      <c r="B168" s="48" t="s">
        <v>170</v>
      </c>
      <c r="C168" s="48">
        <v>0</v>
      </c>
      <c r="D168" s="48">
        <v>0</v>
      </c>
      <c r="E168" s="48">
        <v>2.4070759965423204E-2</v>
      </c>
      <c r="F168" s="44">
        <v>2887140</v>
      </c>
      <c r="G168" s="44">
        <v>6</v>
      </c>
      <c r="H168" s="48" t="s">
        <v>384</v>
      </c>
      <c r="I168" s="48">
        <v>0.58772497988444827</v>
      </c>
      <c r="J168" s="48">
        <v>0</v>
      </c>
      <c r="K168" s="48">
        <v>5.2464862506801671E-2</v>
      </c>
      <c r="L168" s="44">
        <v>553960</v>
      </c>
      <c r="R168" s="21"/>
      <c r="S168" s="21"/>
    </row>
    <row r="169" spans="1:19" s="43" customFormat="1">
      <c r="A169" s="44">
        <v>7</v>
      </c>
      <c r="B169" s="48" t="s">
        <v>307</v>
      </c>
      <c r="C169" s="48">
        <v>4.138913562844912E-2</v>
      </c>
      <c r="D169" s="48">
        <v>0</v>
      </c>
      <c r="E169" s="48">
        <v>0</v>
      </c>
      <c r="F169" s="44">
        <v>2480382</v>
      </c>
      <c r="G169" s="44">
        <v>7</v>
      </c>
      <c r="H169" s="48" t="s">
        <v>170</v>
      </c>
      <c r="I169" s="48">
        <v>0</v>
      </c>
      <c r="J169" s="48">
        <v>0</v>
      </c>
      <c r="K169" s="48">
        <v>3.5807212943620111E-2</v>
      </c>
      <c r="L169" s="44">
        <v>2887140</v>
      </c>
      <c r="R169" s="21"/>
      <c r="S169" s="21"/>
    </row>
    <row r="170" spans="1:19" s="43" customFormat="1">
      <c r="A170" s="44">
        <v>8</v>
      </c>
      <c r="B170" s="48" t="s">
        <v>581</v>
      </c>
      <c r="C170" s="48">
        <v>1.5767964205928395E-2</v>
      </c>
      <c r="D170" s="48">
        <v>0</v>
      </c>
      <c r="E170" s="48">
        <v>0</v>
      </c>
      <c r="F170" s="44">
        <v>3050596</v>
      </c>
      <c r="G170" s="44">
        <v>8</v>
      </c>
      <c r="H170" s="48" t="s">
        <v>182</v>
      </c>
      <c r="I170" s="48">
        <v>6.0252574133491325E-2</v>
      </c>
      <c r="J170" s="48">
        <v>0</v>
      </c>
      <c r="K170" s="48">
        <v>0</v>
      </c>
      <c r="L170" s="44">
        <v>1692097</v>
      </c>
      <c r="R170" s="21"/>
      <c r="S170" s="21"/>
    </row>
    <row r="171" spans="1:19" s="43" customFormat="1">
      <c r="A171" s="44">
        <v>9</v>
      </c>
      <c r="B171" s="48" t="s">
        <v>182</v>
      </c>
      <c r="C171" s="48">
        <v>1.2308475064247719E-2</v>
      </c>
      <c r="D171" s="48">
        <v>0</v>
      </c>
      <c r="E171" s="48">
        <v>0</v>
      </c>
      <c r="F171" s="44">
        <v>1692097</v>
      </c>
      <c r="G171" s="44">
        <v>9</v>
      </c>
      <c r="H171" s="48" t="s">
        <v>307</v>
      </c>
      <c r="I171" s="48">
        <v>3.895002727431187E-2</v>
      </c>
      <c r="J171" s="48">
        <v>0</v>
      </c>
      <c r="K171" s="48">
        <v>0</v>
      </c>
      <c r="L171" s="44">
        <v>2480382</v>
      </c>
      <c r="R171" s="21"/>
      <c r="S171" s="21"/>
    </row>
    <row r="172" spans="1:19" s="43" customFormat="1">
      <c r="A172" s="44">
        <v>10</v>
      </c>
      <c r="B172" s="48" t="s">
        <v>251</v>
      </c>
      <c r="C172" s="48">
        <v>7.678090777738511E-3</v>
      </c>
      <c r="D172" s="48">
        <v>5.1959648470119579E-2</v>
      </c>
      <c r="E172" s="48">
        <v>7.6825372538991243E-2</v>
      </c>
      <c r="F172" s="44">
        <v>5920853</v>
      </c>
      <c r="G172" s="44">
        <v>10</v>
      </c>
      <c r="H172" s="48" t="s">
        <v>251</v>
      </c>
      <c r="I172" s="48">
        <v>3.052953152834792E-2</v>
      </c>
      <c r="J172" s="48">
        <v>5.0559977957435498E-2</v>
      </c>
      <c r="K172" s="48">
        <v>0.11267768558121272</v>
      </c>
      <c r="L172" s="44">
        <v>5920853</v>
      </c>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611E5A20-BA5A-4C17-AE22-CD5439FB95D5}">
      <formula1>$C$113:$C$114</formula1>
    </dataValidation>
  </dataValidations>
  <hyperlinks>
    <hyperlink ref="O1:P1" location="Home_page" display="Back to home page" xr:uid="{E111C813-08F3-466F-8A8D-AF9C1024EF0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F9B40148-2DE9-4697-ADE1-85855B6E440D}">
          <x14:colorSeries rgb="FF323232"/>
          <x14:colorNegative rgb="FFD00000"/>
          <x14:colorAxis rgb="FF000000"/>
          <x14:colorMarkers rgb="FFD00000"/>
          <x14:colorFirst rgb="FFD00000"/>
          <x14:colorLast rgb="FFD00000"/>
          <x14:colorHigh rgb="FFD00000"/>
          <x14:colorLow rgb="FFD00000"/>
          <x14:sparklines>
            <x14:sparkline>
              <xm:f>'UK scallop dredge under 15m'!D3:N3</xm:f>
              <xm:sqref>C3</xm:sqref>
            </x14:sparkline>
            <x14:sparkline>
              <xm:f>'UK scallop dredge under 15m'!D4:N4</xm:f>
              <xm:sqref>C4</xm:sqref>
            </x14:sparkline>
            <x14:sparkline>
              <xm:f>'UK scallop dredge under 15m'!D5:N5</xm:f>
              <xm:sqref>C5</xm:sqref>
            </x14:sparkline>
            <x14:sparkline>
              <xm:f>'UK scallop dredge under 15m'!D6:N6</xm:f>
              <xm:sqref>C6</xm:sqref>
            </x14:sparkline>
            <x14:sparkline>
              <xm:f>'UK scallop dredge under 15m'!D7:N7</xm:f>
              <xm:sqref>C7</xm:sqref>
            </x14:sparkline>
            <x14:sparkline>
              <xm:f>'UK scallop dredge under 15m'!D8:N8</xm:f>
              <xm:sqref>C8</xm:sqref>
            </x14:sparkline>
            <x14:sparkline>
              <xm:f>'UK scallop dredge under 15m'!D9:N9</xm:f>
              <xm:sqref>C9</xm:sqref>
            </x14:sparkline>
            <x14:sparkline>
              <xm:f>'UK scallop dredge under 15m'!D10:N10</xm:f>
              <xm:sqref>C10</xm:sqref>
            </x14:sparkline>
            <x14:sparkline>
              <xm:f>'UK scallop dredge under 15m'!D11:N11</xm:f>
              <xm:sqref>C11</xm:sqref>
            </x14:sparkline>
            <x14:sparkline>
              <xm:f>'UK scallop dredge under 15m'!D12:N12</xm:f>
              <xm:sqref>C12</xm:sqref>
            </x14:sparkline>
            <x14:sparkline>
              <xm:f>'UK scallop dredge under 15m'!D13:N13</xm:f>
              <xm:sqref>C13</xm:sqref>
            </x14:sparkline>
            <x14:sparkline>
              <xm:f>'UK scallop dredge under 15m'!D14:N14</xm:f>
              <xm:sqref>C14</xm:sqref>
            </x14:sparkline>
            <x14:sparkline>
              <xm:f>'UK scallop dredge under 15m'!D15:N15</xm:f>
              <xm:sqref>C15</xm:sqref>
            </x14:sparkline>
            <x14:sparkline>
              <xm:f>'UK scallop dredge under 15m'!D16:N16</xm:f>
              <xm:sqref>C16</xm:sqref>
            </x14:sparkline>
            <x14:sparkline>
              <xm:f>'UK scallop dredge under 15m'!D17:N17</xm:f>
              <xm:sqref>C17</xm:sqref>
            </x14:sparkline>
            <x14:sparkline>
              <xm:f>'UK scallop dredge under 15m'!D18:N18</xm:f>
              <xm:sqref>C18</xm:sqref>
            </x14:sparkline>
            <x14:sparkline>
              <xm:f>'UK scallop dredge under 15m'!D19:N19</xm:f>
              <xm:sqref>C19</xm:sqref>
            </x14:sparkline>
            <x14:sparkline>
              <xm:f>'UK scallop dredge under 15m'!D20:N20</xm:f>
              <xm:sqref>C20</xm:sqref>
            </x14:sparkline>
            <x14:sparkline>
              <xm:f>'UK scallop dredge under 15m'!D21:N21</xm:f>
              <xm:sqref>C21</xm:sqref>
            </x14:sparkline>
            <x14:sparkline>
              <xm:f>'UK scallop dredge under 15m'!D22:N22</xm:f>
              <xm:sqref>C22</xm:sqref>
            </x14:sparkline>
            <x14:sparkline>
              <xm:f>'UK scallop dredge under 15m'!D23:N23</xm:f>
              <xm:sqref>C23</xm:sqref>
            </x14:sparkline>
            <x14:sparkline>
              <xm:f>'UK scallop dredge under 15m'!D24:N24</xm:f>
              <xm:sqref>C24</xm:sqref>
            </x14:sparkline>
            <x14:sparkline>
              <xm:f>'UK scallop dredge under 15m'!D25:N25</xm:f>
              <xm:sqref>C25</xm:sqref>
            </x14:sparkline>
            <x14:sparkline>
              <xm:f>'UK scallop dredge under 15m'!D26:N26</xm:f>
              <xm:sqref>C26</xm:sqref>
            </x14:sparkline>
            <x14:sparkline>
              <xm:f>'UK scallop dredge under 15m'!D27:N27</xm:f>
              <xm:sqref>C27</xm:sqref>
            </x14:sparkline>
            <x14:sparkline>
              <xm:f>'UK scallop dredge under 15m'!D28:N28</xm:f>
              <xm:sqref>C28</xm:sqref>
            </x14:sparkline>
            <x14:sparkline>
              <xm:f>'UK scallop dredge under 15m'!D29:N29</xm:f>
              <xm:sqref>C29</xm:sqref>
            </x14:sparkline>
            <x14:sparkline>
              <xm:f>'UK scallop dredge under 15m'!D30:N30</xm:f>
              <xm:sqref>C30</xm:sqref>
            </x14:sparkline>
            <x14:sparkline>
              <xm:f>'UK scallop dredge under 15m'!D31:N31</xm:f>
              <xm:sqref>C31</xm:sqref>
            </x14:sparkline>
            <x14:sparkline>
              <xm:f>'UK scallop dredge under 15m'!D32:N32</xm:f>
              <xm:sqref>C32</xm:sqref>
            </x14:sparkline>
            <x14:sparkline>
              <xm:f>'UK scallop dredge under 15m'!D33:N33</xm:f>
              <xm:sqref>C33</xm:sqref>
            </x14:sparkline>
            <x14:sparkline>
              <xm:f>'UK scallop dredge under 15m'!D34:N34</xm:f>
              <xm:sqref>C34</xm:sqref>
            </x14:sparkline>
            <x14:sparkline>
              <xm:f>'UK scallop dredge under 15m'!D35:N35</xm:f>
              <xm:sqref>C35</xm:sqref>
            </x14:sparkline>
            <x14:sparkline>
              <xm:f>'UK scallop dredge under 15m'!D36:N36</xm:f>
              <xm:sqref>C36</xm:sqref>
            </x14:sparkline>
            <x14:sparkline>
              <xm:f>'UK scallop dredge under 15m'!D37:N37</xm:f>
              <xm:sqref>C37</xm:sqref>
            </x14:sparkline>
            <x14:sparkline>
              <xm:f>'UK scallop dredge under 15m'!D38:N38</xm:f>
              <xm:sqref>C38</xm:sqref>
            </x14:sparkline>
            <x14:sparkline>
              <xm:f>'UK scallop dredge under 15m'!D39:N39</xm:f>
              <xm:sqref>C39</xm:sqref>
            </x14:sparkline>
            <x14:sparkline>
              <xm:f>'UK scallop dredge under 15m'!D40:N40</xm:f>
              <xm:sqref>C40</xm:sqref>
            </x14:sparkline>
            <x14:sparkline>
              <xm:f>'UK scallop dredge under 15m'!D41:N41</xm:f>
              <xm:sqref>C41</xm:sqref>
            </x14:sparkline>
            <x14:sparkline>
              <xm:f>'UK scallop dredge under 15m'!D42:N42</xm:f>
              <xm:sqref>C42</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DD25-BEAE-4F8F-9CA0-8AC9D35C696C}">
  <sheetPr codeName="Feuil33">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34</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223</v>
      </c>
      <c r="E3" s="28">
        <v>203</v>
      </c>
      <c r="F3" s="28">
        <v>203</v>
      </c>
      <c r="G3" s="28">
        <v>193</v>
      </c>
      <c r="H3" s="28">
        <v>192</v>
      </c>
      <c r="I3" s="28">
        <v>175</v>
      </c>
      <c r="J3" s="28">
        <v>158</v>
      </c>
      <c r="K3" s="28">
        <v>166</v>
      </c>
      <c r="L3" s="28">
        <v>172</v>
      </c>
      <c r="M3" s="28">
        <v>173</v>
      </c>
      <c r="N3" s="28">
        <v>175</v>
      </c>
      <c r="O3" s="29">
        <f t="shared" ref="O3:O42" si="0">IF(N3=0,"",IFERROR(IF(AND(N3&gt;0,D3&lt;0),"na",IF(AND(N3&lt;0,D3&lt;0),-1,1)*(N3-D3)/D3),""))</f>
        <v>-0.21524663677130046</v>
      </c>
      <c r="P3" s="29">
        <f t="shared" ref="P3:P42" si="1">IF(N3=0,"",IFERROR(IF(AND(N3&gt;0,J3&lt;0),"na",IF(AND(N3&lt;0,J3&lt;0),-1,1)*(N3-J3)/J3),""))</f>
        <v>0.10759493670886076</v>
      </c>
    </row>
    <row r="4" spans="1:17" ht="18" customHeight="1">
      <c r="A4" s="185"/>
      <c r="B4" s="30" t="s">
        <v>190</v>
      </c>
      <c r="C4" s="31"/>
      <c r="D4" s="31">
        <v>25034</v>
      </c>
      <c r="E4" s="31">
        <v>23065</v>
      </c>
      <c r="F4" s="31">
        <v>22749</v>
      </c>
      <c r="G4" s="31">
        <v>21499</v>
      </c>
      <c r="H4" s="31">
        <v>21440</v>
      </c>
      <c r="I4" s="31">
        <v>19528</v>
      </c>
      <c r="J4" s="31">
        <v>18578</v>
      </c>
      <c r="K4" s="31">
        <v>19384</v>
      </c>
      <c r="L4" s="31">
        <v>20468</v>
      </c>
      <c r="M4" s="31">
        <v>20325</v>
      </c>
      <c r="N4" s="31">
        <v>20853</v>
      </c>
      <c r="O4" s="29">
        <f t="shared" si="0"/>
        <v>-0.16701286250699049</v>
      </c>
      <c r="P4" s="29">
        <f t="shared" si="1"/>
        <v>0.12245666917859835</v>
      </c>
    </row>
    <row r="5" spans="1:17" ht="18" customHeight="1">
      <c r="A5" s="185"/>
      <c r="B5" s="30" t="s">
        <v>191</v>
      </c>
      <c r="C5" s="31"/>
      <c r="D5" s="31">
        <v>2342</v>
      </c>
      <c r="E5" s="31">
        <v>2143</v>
      </c>
      <c r="F5" s="31">
        <v>2147</v>
      </c>
      <c r="G5" s="31">
        <v>2021</v>
      </c>
      <c r="H5" s="31">
        <v>2044</v>
      </c>
      <c r="I5" s="31">
        <v>1874</v>
      </c>
      <c r="J5" s="31">
        <v>1782</v>
      </c>
      <c r="K5" s="31">
        <v>1811</v>
      </c>
      <c r="L5" s="31">
        <v>1898</v>
      </c>
      <c r="M5" s="31">
        <v>1911</v>
      </c>
      <c r="N5" s="31">
        <v>1961</v>
      </c>
      <c r="O5" s="29">
        <f t="shared" si="0"/>
        <v>-0.16268146883005977</v>
      </c>
      <c r="P5" s="29">
        <f t="shared" si="1"/>
        <v>0.10044893378226712</v>
      </c>
      <c r="Q5" s="32"/>
    </row>
    <row r="6" spans="1:17" ht="18" customHeight="1">
      <c r="A6" s="185"/>
      <c r="B6" s="30" t="s">
        <v>192</v>
      </c>
      <c r="C6" s="31"/>
      <c r="D6" s="31">
        <v>20089.697265625</v>
      </c>
      <c r="E6" s="31">
        <v>18400.05859375</v>
      </c>
      <c r="F6" s="31">
        <v>18278.7109375</v>
      </c>
      <c r="G6" s="31">
        <v>17228.181640625</v>
      </c>
      <c r="H6" s="31">
        <v>17288.65625</v>
      </c>
      <c r="I6" s="31">
        <v>15723.22265625</v>
      </c>
      <c r="J6" s="31">
        <v>14746.8623046875</v>
      </c>
      <c r="K6" s="31">
        <v>15441.162109375</v>
      </c>
      <c r="L6" s="31">
        <v>16185.2568359375</v>
      </c>
      <c r="M6" s="31">
        <v>16159.6376953125</v>
      </c>
      <c r="N6" s="31">
        <v>16516.5390625</v>
      </c>
      <c r="O6" s="29">
        <f t="shared" si="0"/>
        <v>-0.1778602313355386</v>
      </c>
      <c r="P6" s="29">
        <f t="shared" si="1"/>
        <v>0.12000361305672347</v>
      </c>
    </row>
    <row r="7" spans="1:17" ht="18" customHeight="1">
      <c r="A7" s="185"/>
      <c r="B7" s="30" t="s">
        <v>193</v>
      </c>
      <c r="C7" s="31"/>
      <c r="D7" s="31">
        <v>6492.078125</v>
      </c>
      <c r="E7" s="31">
        <v>5927.626953125</v>
      </c>
      <c r="F7" s="31">
        <v>5624.15234375</v>
      </c>
      <c r="G7" s="31">
        <v>4918.31494140625</v>
      </c>
      <c r="H7" s="31">
        <v>5565.80615234375</v>
      </c>
      <c r="I7" s="31">
        <v>5005.52001953125</v>
      </c>
      <c r="J7" s="31">
        <v>4417.80908203125</v>
      </c>
      <c r="K7" s="31">
        <v>5298.431640625</v>
      </c>
      <c r="L7" s="31">
        <v>3917.671630859375</v>
      </c>
      <c r="M7" s="31">
        <v>4442.0576171875</v>
      </c>
      <c r="N7" s="31">
        <v>4690.681640625</v>
      </c>
      <c r="O7" s="29">
        <f t="shared" si="0"/>
        <v>-0.27747609466344803</v>
      </c>
      <c r="P7" s="29">
        <f t="shared" si="1"/>
        <v>6.1766489571406923E-2</v>
      </c>
    </row>
    <row r="8" spans="1:17" ht="18" customHeight="1">
      <c r="A8" s="185"/>
      <c r="B8" s="30" t="s">
        <v>194</v>
      </c>
      <c r="C8" s="33"/>
      <c r="D8" s="33">
        <f ca="1">18.76598*OFFSET(D$113,MATCH($N$1,$C$113:$C$114,0)-1,0)</f>
        <v>18.765979999999999</v>
      </c>
      <c r="E8" s="33">
        <f ca="1">15.285468*OFFSET(E$113,MATCH($N$1,$C$113:$C$114,0)-1,0)</f>
        <v>15.285468</v>
      </c>
      <c r="F8" s="33">
        <f ca="1">16.133746*OFFSET(F$113,MATCH($N$1,$C$113:$C$114,0)-1,0)</f>
        <v>16.133745999999999</v>
      </c>
      <c r="G8" s="33">
        <f ca="1">13.341847*OFFSET(G$113,MATCH($N$1,$C$113:$C$114,0)-1,0)</f>
        <v>13.341847</v>
      </c>
      <c r="H8" s="33">
        <f ca="1">16.229826*OFFSET(H$113,MATCH($N$1,$C$113:$C$114,0)-1,0)</f>
        <v>16.229825999999999</v>
      </c>
      <c r="I8" s="33">
        <f ca="1">15.533257*OFFSET(I$113,MATCH($N$1,$C$113:$C$114,0)-1,0)</f>
        <v>15.533257000000001</v>
      </c>
      <c r="J8" s="33">
        <f ca="1">13.530954*OFFSET(J$113,MATCH($N$1,$C$113:$C$114,0)-1,0)</f>
        <v>13.530953999999999</v>
      </c>
      <c r="K8" s="33">
        <f ca="1">15.393152*OFFSET(K$113,MATCH($N$1,$C$113:$C$114,0)-1,0)</f>
        <v>15.393152000000001</v>
      </c>
      <c r="L8" s="33">
        <f ca="1">9.40053*OFFSET(L$113,MATCH($N$1,$C$113:$C$114,0)-1,0)</f>
        <v>9.4005299999999998</v>
      </c>
      <c r="M8" s="33">
        <f ca="1">11.346675*OFFSET(M$113,MATCH($N$1,$C$113:$C$114,0)-1,0)</f>
        <v>11.346674999999999</v>
      </c>
      <c r="N8" s="33">
        <v>14.987352</v>
      </c>
      <c r="O8" s="29">
        <f t="shared" ca="1" si="0"/>
        <v>-0.20135521832592806</v>
      </c>
      <c r="P8" s="29">
        <f t="shared" ca="1" si="1"/>
        <v>0.10763453929412517</v>
      </c>
    </row>
    <row r="9" spans="1:17" ht="18" customHeight="1">
      <c r="A9" s="185"/>
      <c r="B9" s="30" t="s">
        <v>195</v>
      </c>
      <c r="C9" s="31"/>
      <c r="D9" s="31">
        <v>22366</v>
      </c>
      <c r="E9" s="31">
        <v>19575</v>
      </c>
      <c r="F9" s="31">
        <v>21805</v>
      </c>
      <c r="G9" s="31">
        <v>20386</v>
      </c>
      <c r="H9" s="31">
        <v>20924</v>
      </c>
      <c r="I9" s="31">
        <v>16201</v>
      </c>
      <c r="J9" s="31">
        <v>14347</v>
      </c>
      <c r="K9" s="31">
        <v>15584</v>
      </c>
      <c r="L9" s="31">
        <v>11882</v>
      </c>
      <c r="M9" s="31">
        <v>12348</v>
      </c>
      <c r="N9" s="31">
        <v>12864</v>
      </c>
      <c r="O9" s="29">
        <f t="shared" si="0"/>
        <v>-0.42484127693820978</v>
      </c>
      <c r="P9" s="29">
        <f t="shared" si="1"/>
        <v>-0.10336655746846031</v>
      </c>
    </row>
    <row r="10" spans="1:17" ht="18" customHeight="1">
      <c r="A10" s="185"/>
      <c r="B10" s="30" t="s">
        <v>196</v>
      </c>
      <c r="C10" s="31"/>
      <c r="D10" s="31">
        <v>4421.34</v>
      </c>
      <c r="E10" s="31">
        <v>3860.98</v>
      </c>
      <c r="F10" s="31">
        <v>4272.58</v>
      </c>
      <c r="G10" s="31">
        <v>3980.96</v>
      </c>
      <c r="H10" s="31">
        <v>4119.34</v>
      </c>
      <c r="I10" s="31">
        <v>3211.02</v>
      </c>
      <c r="J10" s="31">
        <v>2853.44</v>
      </c>
      <c r="K10" s="31">
        <v>3102.28</v>
      </c>
      <c r="L10" s="31">
        <v>2390.2000000000003</v>
      </c>
      <c r="M10" s="31">
        <v>2485.3000000000002</v>
      </c>
      <c r="N10" s="31">
        <v>2595.88</v>
      </c>
      <c r="O10" s="29">
        <f t="shared" si="0"/>
        <v>-0.41287482980272949</v>
      </c>
      <c r="P10" s="29">
        <f t="shared" si="1"/>
        <v>-9.026298082314678E-2</v>
      </c>
    </row>
    <row r="11" spans="1:17" ht="18" customHeight="1">
      <c r="A11" s="185"/>
      <c r="B11" s="30" t="s">
        <v>197</v>
      </c>
      <c r="C11" s="31"/>
      <c r="D11" s="31">
        <v>267.82907104492188</v>
      </c>
      <c r="E11" s="31">
        <v>231.16658020019531</v>
      </c>
      <c r="F11" s="31">
        <v>265.15093994140625</v>
      </c>
      <c r="G11" s="31">
        <v>286.97299194335938</v>
      </c>
      <c r="H11" s="31">
        <v>343.72048950195313</v>
      </c>
      <c r="I11" s="31">
        <v>201.85496520996094</v>
      </c>
      <c r="J11" s="31">
        <v>199.23928833007813</v>
      </c>
      <c r="K11" s="31">
        <v>149.37196350097656</v>
      </c>
      <c r="L11" s="31">
        <v>130.03004455566406</v>
      </c>
      <c r="M11" s="31">
        <v>147.67788696289063</v>
      </c>
      <c r="N11" s="31">
        <v>155.00379943847656</v>
      </c>
      <c r="O11" s="34">
        <f t="shared" si="0"/>
        <v>-0.42125849582445662</v>
      </c>
      <c r="P11" s="34">
        <f t="shared" si="1"/>
        <v>-0.22202191777716543</v>
      </c>
    </row>
    <row r="12" spans="1:17" ht="18" customHeight="1">
      <c r="A12" s="186" t="s">
        <v>198</v>
      </c>
      <c r="B12" s="35" t="s">
        <v>199</v>
      </c>
      <c r="C12" s="36"/>
      <c r="D12" s="36">
        <v>9.6296415328979492</v>
      </c>
      <c r="E12" s="36">
        <v>9.6284236907958984</v>
      </c>
      <c r="F12" s="36">
        <v>9.6504430770874023</v>
      </c>
      <c r="G12" s="36">
        <v>9.6765279769897461</v>
      </c>
      <c r="H12" s="36">
        <v>9.6863536834716797</v>
      </c>
      <c r="I12" s="36">
        <v>9.6900568008422852</v>
      </c>
      <c r="J12" s="36">
        <v>9.7668352127075195</v>
      </c>
      <c r="K12" s="36">
        <v>9.7676506042480469</v>
      </c>
      <c r="L12" s="36">
        <v>9.7523832321166992</v>
      </c>
      <c r="M12" s="36">
        <v>9.734797477722168</v>
      </c>
      <c r="N12" s="36">
        <v>9.7397146224975586</v>
      </c>
      <c r="O12" s="29">
        <f t="shared" si="0"/>
        <v>1.143065286735382E-2</v>
      </c>
      <c r="P12" s="29">
        <f t="shared" si="1"/>
        <v>-2.7768043198552837E-3</v>
      </c>
    </row>
    <row r="13" spans="1:17" ht="18" customHeight="1">
      <c r="A13" s="187"/>
      <c r="B13" s="37" t="s">
        <v>190</v>
      </c>
      <c r="C13" s="31"/>
      <c r="D13" s="31">
        <v>112.26008605957031</v>
      </c>
      <c r="E13" s="31">
        <v>113.62068939208984</v>
      </c>
      <c r="F13" s="31">
        <v>112.06404113769531</v>
      </c>
      <c r="G13" s="31">
        <v>111.39378356933594</v>
      </c>
      <c r="H13" s="31">
        <v>111.66666412353516</v>
      </c>
      <c r="I13" s="31">
        <v>111.58856964111328</v>
      </c>
      <c r="J13" s="31">
        <v>117.582275390625</v>
      </c>
      <c r="K13" s="31">
        <v>116.77108764648438</v>
      </c>
      <c r="L13" s="31">
        <v>119</v>
      </c>
      <c r="M13" s="31">
        <v>117.48554992675781</v>
      </c>
      <c r="N13" s="31">
        <v>119.16000366210938</v>
      </c>
      <c r="O13" s="29">
        <f t="shared" si="0"/>
        <v>6.1463676403006248E-2</v>
      </c>
      <c r="P13" s="29">
        <f t="shared" si="1"/>
        <v>1.3418079096045197E-2</v>
      </c>
    </row>
    <row r="14" spans="1:17" ht="18" customHeight="1">
      <c r="A14" s="187"/>
      <c r="B14" s="37" t="s">
        <v>191</v>
      </c>
      <c r="C14" s="31"/>
      <c r="D14" s="31">
        <v>10.502242088317871</v>
      </c>
      <c r="E14" s="31">
        <v>10.556650161743164</v>
      </c>
      <c r="F14" s="31">
        <v>10.57635498046875</v>
      </c>
      <c r="G14" s="31">
        <v>10.471502304077148</v>
      </c>
      <c r="H14" s="31">
        <v>10.645833015441895</v>
      </c>
      <c r="I14" s="31">
        <v>10.708571434020996</v>
      </c>
      <c r="J14" s="31">
        <v>11.278481483459473</v>
      </c>
      <c r="K14" s="31">
        <v>10.909638404846191</v>
      </c>
      <c r="L14" s="31">
        <v>11.034883499145508</v>
      </c>
      <c r="M14" s="31">
        <v>11.046242713928223</v>
      </c>
      <c r="N14" s="31">
        <v>11.205714225769043</v>
      </c>
      <c r="O14" s="29">
        <f t="shared" si="0"/>
        <v>6.6983043385914362E-2</v>
      </c>
      <c r="P14" s="29">
        <f t="shared" si="1"/>
        <v>-6.4518665741613319E-3</v>
      </c>
    </row>
    <row r="15" spans="1:17" ht="18" customHeight="1">
      <c r="A15" s="187"/>
      <c r="B15" s="37" t="s">
        <v>192</v>
      </c>
      <c r="C15" s="31"/>
      <c r="D15" s="31">
        <v>90.088333129882813</v>
      </c>
      <c r="E15" s="31">
        <v>90.640678405761719</v>
      </c>
      <c r="F15" s="31">
        <v>90.042915344238281</v>
      </c>
      <c r="G15" s="31">
        <v>89.265190124511719</v>
      </c>
      <c r="H15" s="31">
        <v>90.045082092285156</v>
      </c>
      <c r="I15" s="31">
        <v>89.84698486328125</v>
      </c>
      <c r="J15" s="31">
        <v>93.334571838378906</v>
      </c>
      <c r="K15" s="31">
        <v>93.019050598144531</v>
      </c>
      <c r="L15" s="31">
        <v>94.100334167480469</v>
      </c>
      <c r="M15" s="31">
        <v>93.408309936523438</v>
      </c>
      <c r="N15" s="31">
        <v>94.380218505859375</v>
      </c>
      <c r="O15" s="29">
        <f t="shared" si="0"/>
        <v>4.764085677763439E-2</v>
      </c>
      <c r="P15" s="29">
        <f t="shared" si="1"/>
        <v>1.1203208488395313E-2</v>
      </c>
    </row>
    <row r="16" spans="1:17" ht="18" customHeight="1">
      <c r="A16" s="187"/>
      <c r="B16" s="37" t="s">
        <v>193</v>
      </c>
      <c r="C16" s="33"/>
      <c r="D16" s="33">
        <v>29.112457275390625</v>
      </c>
      <c r="E16" s="33">
        <v>29.20013427734375</v>
      </c>
      <c r="F16" s="33">
        <v>27.705184936523438</v>
      </c>
      <c r="G16" s="33">
        <v>25.483497619628906</v>
      </c>
      <c r="H16" s="33">
        <v>28.988574981689453</v>
      </c>
      <c r="I16" s="33">
        <v>28.602970123291016</v>
      </c>
      <c r="J16" s="33">
        <v>27.960817337036133</v>
      </c>
      <c r="K16" s="33">
        <v>31.918262481689453</v>
      </c>
      <c r="L16" s="33">
        <v>22.77716064453125</v>
      </c>
      <c r="M16" s="33">
        <v>25.676633834838867</v>
      </c>
      <c r="N16" s="33">
        <v>26.80389404296875</v>
      </c>
      <c r="O16" s="29">
        <f t="shared" si="0"/>
        <v>-7.9298123500325488E-2</v>
      </c>
      <c r="P16" s="29">
        <f t="shared" si="1"/>
        <v>-4.1376590681237127E-2</v>
      </c>
    </row>
    <row r="17" spans="1:16" ht="18" customHeight="1">
      <c r="A17" s="187"/>
      <c r="B17" s="37" t="s">
        <v>200</v>
      </c>
      <c r="C17" s="33"/>
      <c r="D17" s="33">
        <f ca="1">84.152375*OFFSET(D$113,MATCH($N$1,$C$113:$C$114,0)-1,0)</f>
        <v>84.152375000000006</v>
      </c>
      <c r="E17" s="33">
        <f ca="1">75.297875*OFFSET(E$113,MATCH($N$1,$C$113:$C$114,0)-1,0)</f>
        <v>75.297875000000005</v>
      </c>
      <c r="F17" s="33">
        <f ca="1">79.476578125*OFFSET(F$113,MATCH($N$1,$C$113:$C$114,0)-1,0)</f>
        <v>79.476578125000003</v>
      </c>
      <c r="G17" s="33">
        <f ca="1">69.1287421875*OFFSET(G$113,MATCH($N$1,$C$113:$C$114,0)-1,0)</f>
        <v>69.128742187499995</v>
      </c>
      <c r="H17" s="33">
        <f ca="1">84.53034375*OFFSET(H$113,MATCH($N$1,$C$113:$C$114,0)-1,0)</f>
        <v>84.53034375</v>
      </c>
      <c r="I17" s="33">
        <f ca="1">88.76146875*OFFSET(I$113,MATCH($N$1,$C$113:$C$114,0)-1,0)</f>
        <v>88.761468750000006</v>
      </c>
      <c r="J17" s="33">
        <f ca="1">85.6389453125*OFFSET(J$113,MATCH($N$1,$C$113:$C$114,0)-1,0)</f>
        <v>85.638945312499999</v>
      </c>
      <c r="K17" s="33">
        <f ca="1">92.7298359375*OFFSET(K$113,MATCH($N$1,$C$113:$C$114,0)-1,0)</f>
        <v>92.729835937499999</v>
      </c>
      <c r="L17" s="33">
        <f ca="1">54.6542421875*OFFSET(L$113,MATCH($N$1,$C$113:$C$114,0)-1,0)</f>
        <v>54.654242187500003</v>
      </c>
      <c r="M17" s="33">
        <f ca="1">65.58771875*OFFSET(M$113,MATCH($N$1,$C$113:$C$114,0)-1,0)</f>
        <v>65.587718749999993</v>
      </c>
      <c r="N17" s="33">
        <v>85.642007812499997</v>
      </c>
      <c r="O17" s="29">
        <f t="shared" ca="1" si="0"/>
        <v>1.770161344228242E-2</v>
      </c>
      <c r="P17" s="29">
        <f t="shared" ca="1" si="1"/>
        <v>3.5760599208963267E-5</v>
      </c>
    </row>
    <row r="18" spans="1:16" ht="18" customHeight="1">
      <c r="A18" s="187"/>
      <c r="B18" s="37" t="s">
        <v>195</v>
      </c>
      <c r="C18" s="31"/>
      <c r="D18" s="31">
        <v>100.29596710205078</v>
      </c>
      <c r="E18" s="31">
        <v>96.428573608398438</v>
      </c>
      <c r="F18" s="31">
        <v>107.41379547119141</v>
      </c>
      <c r="G18" s="31">
        <v>105.62694549560547</v>
      </c>
      <c r="H18" s="31">
        <v>108.97916412353516</v>
      </c>
      <c r="I18" s="31">
        <v>92.577140808105469</v>
      </c>
      <c r="J18" s="31">
        <v>90.803794860839844</v>
      </c>
      <c r="K18" s="31">
        <v>93.8795166015625</v>
      </c>
      <c r="L18" s="31">
        <v>69.081398010253906</v>
      </c>
      <c r="M18" s="31">
        <v>71.375724792480469</v>
      </c>
      <c r="N18" s="31">
        <v>73.508567810058594</v>
      </c>
      <c r="O18" s="29">
        <f t="shared" si="0"/>
        <v>-0.26708351358470983</v>
      </c>
      <c r="P18" s="29">
        <f t="shared" si="1"/>
        <v>-0.19046810848915313</v>
      </c>
    </row>
    <row r="19" spans="1:16" ht="18" customHeight="1">
      <c r="A19" s="187"/>
      <c r="B19" s="37" t="s">
        <v>201</v>
      </c>
      <c r="C19" s="31"/>
      <c r="D19" s="31">
        <v>20.376682281494141</v>
      </c>
      <c r="E19" s="31">
        <v>21.182266235351563</v>
      </c>
      <c r="F19" s="31">
        <v>23.251232147216797</v>
      </c>
      <c r="G19" s="31">
        <v>24.445596694946289</v>
      </c>
      <c r="H19" s="31">
        <v>24.53125</v>
      </c>
      <c r="I19" s="31">
        <v>25.965713500976563</v>
      </c>
      <c r="J19" s="31">
        <v>25.443037033081055</v>
      </c>
      <c r="K19" s="31">
        <v>25.861446380615234</v>
      </c>
      <c r="L19" s="31">
        <v>25.383720397949219</v>
      </c>
      <c r="M19" s="31">
        <v>26.520231246948242</v>
      </c>
      <c r="N19" s="31">
        <v>27.777143478393555</v>
      </c>
      <c r="O19" s="29">
        <f t="shared" si="0"/>
        <v>0.3631828329394145</v>
      </c>
      <c r="P19" s="29">
        <f t="shared" si="1"/>
        <v>9.1738515424777831E-2</v>
      </c>
    </row>
    <row r="20" spans="1:16" ht="18" customHeight="1">
      <c r="A20" s="187"/>
      <c r="B20" s="37" t="s">
        <v>202</v>
      </c>
      <c r="C20" s="38"/>
      <c r="D20" s="38">
        <v>0.29026547074317932</v>
      </c>
      <c r="E20" s="38">
        <v>0.30281621217727661</v>
      </c>
      <c r="F20" s="38">
        <v>0.2579294741153717</v>
      </c>
      <c r="G20" s="38">
        <v>0.24125944077968597</v>
      </c>
      <c r="H20" s="38">
        <v>0.26600107550621033</v>
      </c>
      <c r="I20" s="38">
        <v>0.30896362662315369</v>
      </c>
      <c r="J20" s="38">
        <v>0.30792564153671265</v>
      </c>
      <c r="K20" s="38">
        <v>0.33999177813529968</v>
      </c>
      <c r="L20" s="38">
        <v>0.32971480488777161</v>
      </c>
      <c r="M20" s="38">
        <v>0.3597390353679657</v>
      </c>
      <c r="N20" s="38">
        <v>0.36463633179664612</v>
      </c>
      <c r="O20" s="29">
        <f t="shared" si="0"/>
        <v>0.25621670005409819</v>
      </c>
      <c r="P20" s="29">
        <f t="shared" si="1"/>
        <v>0.18417008072766197</v>
      </c>
    </row>
    <row r="21" spans="1:16" ht="18" customHeight="1">
      <c r="A21" s="188"/>
      <c r="B21" s="39" t="s">
        <v>203</v>
      </c>
      <c r="C21" s="40"/>
      <c r="D21" s="40">
        <f ca="1">2891*OFFSET(D$113,MATCH($N$1,$C$113:$C$114,0)-1,0)</f>
        <v>2891</v>
      </c>
      <c r="E21" s="40">
        <f ca="1">2579*OFFSET(E$113,MATCH($N$1,$C$113:$C$114,0)-1,0)</f>
        <v>2579</v>
      </c>
      <c r="F21" s="40">
        <f ca="1">2869*OFFSET(F$113,MATCH($N$1,$C$113:$C$114,0)-1,0)</f>
        <v>2869</v>
      </c>
      <c r="G21" s="40">
        <f ca="1">2713*OFFSET(G$113,MATCH($N$1,$C$113:$C$114,0)-1,0)</f>
        <v>2713</v>
      </c>
      <c r="H21" s="40">
        <f ca="1">2916*OFFSET(H$113,MATCH($N$1,$C$113:$C$114,0)-1,0)</f>
        <v>2916</v>
      </c>
      <c r="I21" s="40">
        <f ca="1">3103*OFFSET(I$113,MATCH($N$1,$C$113:$C$114,0)-1,0)</f>
        <v>3103</v>
      </c>
      <c r="J21" s="40">
        <f ca="1">3063*OFFSET(J$113,MATCH($N$1,$C$113:$C$114,0)-1,0)</f>
        <v>3063</v>
      </c>
      <c r="K21" s="40">
        <f ca="1">2905*OFFSET(K$113,MATCH($N$1,$C$113:$C$114,0)-1,0)</f>
        <v>2905</v>
      </c>
      <c r="L21" s="40">
        <f ca="1">2400*OFFSET(L$113,MATCH($N$1,$C$113:$C$114,0)-1,0)</f>
        <v>2400</v>
      </c>
      <c r="M21" s="40">
        <f ca="1">2554*OFFSET(M$113,MATCH($N$1,$C$113:$C$114,0)-1,0)</f>
        <v>2554</v>
      </c>
      <c r="N21" s="40">
        <v>3195</v>
      </c>
      <c r="O21" s="34">
        <f t="shared" ca="1" si="0"/>
        <v>0.10515392597717053</v>
      </c>
      <c r="P21" s="34">
        <f t="shared" ca="1" si="1"/>
        <v>4.3095004897159644E-2</v>
      </c>
    </row>
    <row r="22" spans="1:16" ht="18" customHeight="1">
      <c r="A22" s="189" t="s">
        <v>204</v>
      </c>
      <c r="B22" s="35" t="s">
        <v>205</v>
      </c>
      <c r="C22" s="41"/>
      <c r="D22" s="41">
        <v>2.5515763696730422</v>
      </c>
      <c r="E22" s="41">
        <v>2.6401861793854016</v>
      </c>
      <c r="F22" s="41">
        <v>2.3070814747113699</v>
      </c>
      <c r="G22" s="41">
        <v>2.179466537029489</v>
      </c>
      <c r="H22" s="41">
        <v>2.3622552912263446</v>
      </c>
      <c r="I22" s="41">
        <v>2.6671738314978746</v>
      </c>
      <c r="J22" s="41">
        <v>2.5544650159039151</v>
      </c>
      <c r="K22" s="41">
        <v>2.8404246641952664</v>
      </c>
      <c r="L22" s="41">
        <v>2.6680938978929962</v>
      </c>
      <c r="M22" s="41">
        <v>2.9472330363041723</v>
      </c>
      <c r="N22" s="41">
        <v>2.9566187271922502</v>
      </c>
      <c r="O22" s="29">
        <f t="shared" si="0"/>
        <v>0.15874200840443975</v>
      </c>
      <c r="P22" s="29">
        <f t="shared" si="1"/>
        <v>0.15743167699872776</v>
      </c>
    </row>
    <row r="23" spans="1:16" ht="18" customHeight="1">
      <c r="A23" s="189"/>
      <c r="B23" s="37" t="s">
        <v>206</v>
      </c>
      <c r="C23" s="38"/>
      <c r="D23" s="38">
        <f ca="1">7.3755784154769*OFFSET(D$113,MATCH($N$1,$C$113:$C$114,0)-1,0)</f>
        <v>7.3755784154769</v>
      </c>
      <c r="E23" s="38">
        <f ca="1">6.80820187413788*OFFSET(E$113,MATCH($N$1,$C$113:$C$114,0)-1,0)</f>
        <v>6.8082018741378798</v>
      </c>
      <c r="F23" s="38">
        <f ca="1">6.61821754612864*OFFSET(F$113,MATCH($N$1,$C$113:$C$114,0)-1,0)</f>
        <v>6.6182175461286397</v>
      </c>
      <c r="G23" s="38">
        <f ca="1">5.91220964223313*OFFSET(G$113,MATCH($N$1,$C$113:$C$114,0)-1,0)</f>
        <v>5.9122096422331296</v>
      </c>
      <c r="H23" s="38">
        <f ca="1">6.88830864983008*OFFSET(H$113,MATCH($N$1,$C$113:$C$114,0)-1,0)</f>
        <v>6.8883086498300798</v>
      </c>
      <c r="I23" s="38">
        <f ca="1">8.27684207880706*OFFSET(I$113,MATCH($N$1,$C$113:$C$114,0)-1,0)</f>
        <v>8.2768420788070607</v>
      </c>
      <c r="J23" s="38">
        <f ca="1">7.82386606095109*OFFSET(J$113,MATCH($N$1,$C$113:$C$114,0)-1,0)</f>
        <v>7.8238660609510902</v>
      </c>
      <c r="K23" s="38">
        <f ca="1">8.25208180598038*OFFSET(K$113,MATCH($N$1,$C$113:$C$114,0)-1,0)</f>
        <v>8.2520818059803798</v>
      </c>
      <c r="L23" s="38">
        <f ca="1">6.40214346073229*OFFSET(L$113,MATCH($N$1,$C$113:$C$114,0)-1,0)</f>
        <v>6.4021434607322902</v>
      </c>
      <c r="M23" s="38">
        <f ca="1">7.52833462202308*OFFSET(M$113,MATCH($N$1,$C$113:$C$114,0)-1,0)</f>
        <v>7.5283346220230802</v>
      </c>
      <c r="N23" s="38">
        <v>9.4467902211098789</v>
      </c>
      <c r="O23" s="29">
        <f t="shared" ca="1" si="0"/>
        <v>0.28082025421718138</v>
      </c>
      <c r="P23" s="29">
        <f t="shared" ca="1" si="1"/>
        <v>0.20743250811242819</v>
      </c>
    </row>
    <row r="24" spans="1:16" ht="18" customHeight="1">
      <c r="A24" s="189"/>
      <c r="B24" s="37" t="s">
        <v>153</v>
      </c>
      <c r="C24" s="38"/>
      <c r="D24" s="38">
        <f ca="1">6.23548694231581*OFFSET(D$113,MATCH($N$1,$C$113:$C$114,0)-1,0)</f>
        <v>6.2354869423158101</v>
      </c>
      <c r="E24" s="38">
        <f ca="1">5.65548902220283*OFFSET(E$113,MATCH($N$1,$C$113:$C$114,0)-1,0)</f>
        <v>5.65548902220283</v>
      </c>
      <c r="F24" s="38">
        <f ca="1">5.64743474591178*OFFSET(F$113,MATCH($N$1,$C$113:$C$114,0)-1,0)</f>
        <v>5.64743474591178</v>
      </c>
      <c r="G24" s="38">
        <f ca="1">4.82754163792182*OFFSET(G$113,MATCH($N$1,$C$113:$C$114,0)-1,0)</f>
        <v>4.8275416379218203</v>
      </c>
      <c r="H24" s="38">
        <f ca="1">5.00105925990474*OFFSET(H$113,MATCH($N$1,$C$113:$C$114,0)-1,0)</f>
        <v>5.0010592599047401</v>
      </c>
      <c r="I24" s="38">
        <f ca="1">5.88838875769798*OFFSET(I$113,MATCH($N$1,$C$113:$C$114,0)-1,0)</f>
        <v>5.8883887576979799</v>
      </c>
      <c r="J24" s="38">
        <f ca="1">6.41099837659803*OFFSET(J$113,MATCH($N$1,$C$113:$C$114,0)-1,0)</f>
        <v>6.4109983765980303</v>
      </c>
      <c r="K24" s="38">
        <f ca="1">6.52514952850636*OFFSET(K$113,MATCH($N$1,$C$113:$C$114,0)-1,0)</f>
        <v>6.5251495285063603</v>
      </c>
      <c r="L24" s="38">
        <f ca="1">5.04286543965848*OFFSET(L$113,MATCH($N$1,$C$113:$C$114,0)-1,0)</f>
        <v>5.0428654396584802</v>
      </c>
      <c r="M24" s="38">
        <f ca="1">6.59876086260086*OFFSET(M$113,MATCH($N$1,$C$113:$C$114,0)-1,0)</f>
        <v>6.5987608626008596</v>
      </c>
      <c r="N24" s="38">
        <v>8.5094252552135803</v>
      </c>
      <c r="O24" s="29">
        <f t="shared" ca="1" si="0"/>
        <v>0.36467694246397503</v>
      </c>
      <c r="P24" s="29">
        <f t="shared" ca="1" si="1"/>
        <v>0.327316707219176</v>
      </c>
    </row>
    <row r="25" spans="1:16" ht="18" customHeight="1">
      <c r="A25" s="189"/>
      <c r="B25" s="37" t="s">
        <v>154</v>
      </c>
      <c r="C25" s="38"/>
      <c r="D25" s="38">
        <f ca="1">1.49157742843773*OFFSET(D$113,MATCH($N$1,$C$113:$C$114,0)-1,0)</f>
        <v>1.4915774284377299</v>
      </c>
      <c r="E25" s="38">
        <f ca="1">1.66591760722926*OFFSET(E$113,MATCH($N$1,$C$113:$C$114,0)-1,0)</f>
        <v>1.6659176072292601</v>
      </c>
      <c r="F25" s="38">
        <f ca="1">1.51178522121996*OFFSET(F$113,MATCH($N$1,$C$113:$C$114,0)-1,0)</f>
        <v>1.5117852212199601</v>
      </c>
      <c r="G25" s="38">
        <f ca="1">1.16665433352599*OFFSET(G$113,MATCH($N$1,$C$113:$C$114,0)-1,0)</f>
        <v>1.16665433352599</v>
      </c>
      <c r="H25" s="38">
        <f ca="1">2.07397101006399*OFFSET(H$113,MATCH($N$1,$C$113:$C$114,0)-1,0)</f>
        <v>2.0739710100639899</v>
      </c>
      <c r="I25" s="38">
        <f ca="1">2.59636958755545*OFFSET(I$113,MATCH($N$1,$C$113:$C$114,0)-1,0)</f>
        <v>2.5963695875554502</v>
      </c>
      <c r="J25" s="38">
        <f ca="1">1.56992998476789*OFFSET(J$113,MATCH($N$1,$C$113:$C$114,0)-1,0)</f>
        <v>1.56992998476789</v>
      </c>
      <c r="K25" s="38">
        <f ca="1">1.95647856630615*OFFSET(K$113,MATCH($N$1,$C$113:$C$114,0)-1,0)</f>
        <v>1.9564785663061499</v>
      </c>
      <c r="L25" s="38">
        <f ca="1">2.29460139049945*OFFSET(L$113,MATCH($N$1,$C$113:$C$114,0)-1,0)</f>
        <v>2.2946013904994498</v>
      </c>
      <c r="M25" s="38">
        <f ca="1">1.2242760676079*OFFSET(M$113,MATCH($N$1,$C$113:$C$114,0)-1,0)</f>
        <v>1.2242760676079001</v>
      </c>
      <c r="N25" s="38">
        <v>1.2457574636958419</v>
      </c>
      <c r="O25" s="29">
        <f t="shared" ca="1" si="0"/>
        <v>-0.16480536648999738</v>
      </c>
      <c r="P25" s="29">
        <f t="shared" ca="1" si="1"/>
        <v>-0.20648852128267117</v>
      </c>
    </row>
    <row r="26" spans="1:16" ht="18" customHeight="1">
      <c r="A26" s="189"/>
      <c r="B26" s="37" t="s">
        <v>207</v>
      </c>
      <c r="C26" s="33"/>
      <c r="D26" s="33">
        <f ca="1">70.11*OFFSET(D$113,MATCH($N$1,$C$113:$C$114,0)-1,0)</f>
        <v>70.11</v>
      </c>
      <c r="E26" s="33">
        <f ca="1">66.13*OFFSET(E$113,MATCH($N$1,$C$113:$C$114,0)-1,0)</f>
        <v>66.13</v>
      </c>
      <c r="F26" s="33">
        <f ca="1">60.87*OFFSET(F$113,MATCH($N$1,$C$113:$C$114,0)-1,0)</f>
        <v>60.87</v>
      </c>
      <c r="G26" s="33">
        <f ca="1">46.47*OFFSET(G$113,MATCH($N$1,$C$113:$C$114,0)-1,0)</f>
        <v>46.47</v>
      </c>
      <c r="H26" s="33">
        <f ca="1">47.2*OFFSET(H$113,MATCH($N$1,$C$113:$C$114,0)-1,0)</f>
        <v>47.2</v>
      </c>
      <c r="I26" s="33">
        <f ca="1">76.99*OFFSET(I$113,MATCH($N$1,$C$113:$C$114,0)-1,0)</f>
        <v>76.989999999999995</v>
      </c>
      <c r="J26" s="33">
        <f ca="1">67.88*OFFSET(J$113,MATCH($N$1,$C$113:$C$114,0)-1,0)</f>
        <v>67.88</v>
      </c>
      <c r="K26" s="33">
        <f ca="1">103.02*OFFSET(K$113,MATCH($N$1,$C$113:$C$114,0)-1,0)</f>
        <v>103.02</v>
      </c>
      <c r="L26" s="33">
        <f ca="1">72.36*OFFSET(L$113,MATCH($N$1,$C$113:$C$114,0)-1,0)</f>
        <v>72.36</v>
      </c>
      <c r="M26" s="33">
        <f ca="1">76.85*OFFSET(M$113,MATCH($N$1,$C$113:$C$114,0)-1,0)</f>
        <v>76.849999999999994</v>
      </c>
      <c r="N26" s="33">
        <v>96.64</v>
      </c>
      <c r="O26" s="29">
        <f t="shared" ca="1" si="0"/>
        <v>0.37840536300099847</v>
      </c>
      <c r="P26" s="29">
        <f t="shared" ca="1" si="1"/>
        <v>0.42368886269888051</v>
      </c>
    </row>
    <row r="27" spans="1:16" ht="18" customHeight="1">
      <c r="A27" s="190"/>
      <c r="B27" s="37" t="s">
        <v>208</v>
      </c>
      <c r="C27" s="33"/>
      <c r="D27" s="33">
        <f ca="1">14.15*OFFSET(D$113,MATCH($N$1,$C$113:$C$114,0)-1,0)</f>
        <v>14.15</v>
      </c>
      <c r="E27" s="33">
        <f ca="1">16.16*OFFSET(E$113,MATCH($N$1,$C$113:$C$114,0)-1,0)</f>
        <v>16.16</v>
      </c>
      <c r="F27" s="33">
        <f ca="1">13.93*OFFSET(F$113,MATCH($N$1,$C$113:$C$114,0)-1,0)</f>
        <v>13.93</v>
      </c>
      <c r="G27" s="33">
        <f ca="1">9.15*OFFSET(G$113,MATCH($N$1,$C$113:$C$114,0)-1,0)</f>
        <v>9.15</v>
      </c>
      <c r="H27" s="33">
        <f ca="1">14.24*OFFSET(H$113,MATCH($N$1,$C$113:$C$114,0)-1,0)</f>
        <v>14.24</v>
      </c>
      <c r="I27" s="33">
        <f ca="1">24.1*OFFSET(I$113,MATCH($N$1,$C$113:$C$114,0)-1,0)</f>
        <v>24.1</v>
      </c>
      <c r="J27" s="33">
        <f ca="1">13.64*OFFSET(J$113,MATCH($N$1,$C$113:$C$114,0)-1,0)</f>
        <v>13.64</v>
      </c>
      <c r="K27" s="33">
        <f ca="1">24.45*OFFSET(K$113,MATCH($N$1,$C$113:$C$114,0)-1,0)</f>
        <v>24.45</v>
      </c>
      <c r="L27" s="33">
        <f ca="1">25.93*OFFSET(L$113,MATCH($N$1,$C$113:$C$114,0)-1,0)</f>
        <v>25.93</v>
      </c>
      <c r="M27" s="33">
        <f ca="1">12.53*OFFSET(M$113,MATCH($N$1,$C$113:$C$114,0)-1,0)</f>
        <v>12.53</v>
      </c>
      <c r="N27" s="33">
        <v>12.76</v>
      </c>
      <c r="O27" s="34">
        <f t="shared" ca="1" si="0"/>
        <v>-9.8233215547703215E-2</v>
      </c>
      <c r="P27" s="34">
        <f t="shared" ca="1" si="1"/>
        <v>-6.4516129032258118E-2</v>
      </c>
    </row>
    <row r="28" spans="1:16" s="78" customFormat="1" ht="18" customHeight="1">
      <c r="A28" s="191" t="s">
        <v>209</v>
      </c>
      <c r="B28" s="82" t="s">
        <v>200</v>
      </c>
      <c r="C28" s="83"/>
      <c r="D28" s="83">
        <f ca="1">84.2*OFFSET(D$113,MATCH($N$1,$C$113:$C$114,0)-1,0)</f>
        <v>84.2</v>
      </c>
      <c r="E28" s="83">
        <f ca="1">75.3*OFFSET(E$113,MATCH($N$1,$C$113:$C$114,0)-1,0)</f>
        <v>75.3</v>
      </c>
      <c r="F28" s="83">
        <f ca="1">79.5*OFFSET(F$113,MATCH($N$1,$C$113:$C$114,0)-1,0)</f>
        <v>79.5</v>
      </c>
      <c r="G28" s="83">
        <f ca="1">69.1*OFFSET(G$113,MATCH($N$1,$C$113:$C$114,0)-1,0)</f>
        <v>69.099999999999994</v>
      </c>
      <c r="H28" s="83">
        <f ca="1">84.5*OFFSET(H$113,MATCH($N$1,$C$113:$C$114,0)-1,0)</f>
        <v>84.5</v>
      </c>
      <c r="I28" s="83">
        <f ca="1">88.8*OFFSET(I$113,MATCH($N$1,$C$113:$C$114,0)-1,0)</f>
        <v>88.8</v>
      </c>
      <c r="J28" s="83">
        <f ca="1">85.6*OFFSET(J$113,MATCH($N$1,$C$113:$C$114,0)-1,0)</f>
        <v>85.6</v>
      </c>
      <c r="K28" s="83">
        <f ca="1">92.7*OFFSET(K$113,MATCH($N$1,$C$113:$C$114,0)-1,0)</f>
        <v>92.7</v>
      </c>
      <c r="L28" s="83">
        <f ca="1">54.7*OFFSET(L$113,MATCH($N$1,$C$113:$C$114,0)-1,0)</f>
        <v>54.7</v>
      </c>
      <c r="M28" s="83">
        <f ca="1">65.6*OFFSET(M$113,MATCH($N$1,$C$113:$C$114,0)-1,0)</f>
        <v>65.599999999999994</v>
      </c>
      <c r="N28" s="83">
        <v>85.600000000000009</v>
      </c>
      <c r="O28" s="84">
        <f t="shared" ca="1" si="0"/>
        <v>1.6627078384798166E-2</v>
      </c>
      <c r="P28" s="84">
        <f t="shared" ca="1" si="1"/>
        <v>1.6601465788787389E-16</v>
      </c>
    </row>
    <row r="29" spans="1:16" s="78" customFormat="1" ht="18" customHeight="1">
      <c r="A29" s="192"/>
      <c r="B29" s="85" t="s">
        <v>210</v>
      </c>
      <c r="C29" s="86"/>
      <c r="D29" s="86">
        <f ca="1">4*OFFSET(D$113,MATCH($N$1,$C$113:$C$114,0)-1,0)</f>
        <v>4</v>
      </c>
      <c r="E29" s="86">
        <f ca="1">5.7*OFFSET(E$113,MATCH($N$1,$C$113:$C$114,0)-1,0)</f>
        <v>5.7</v>
      </c>
      <c r="F29" s="86">
        <f ca="1">6.5*OFFSET(F$113,MATCH($N$1,$C$113:$C$114,0)-1,0)</f>
        <v>6.5</v>
      </c>
      <c r="G29" s="86">
        <f ca="1">1*OFFSET(G$113,MATCH($N$1,$C$113:$C$114,0)-1,0)</f>
        <v>1</v>
      </c>
      <c r="H29" s="86">
        <f ca="1">2.3*OFFSET(H$113,MATCH($N$1,$C$113:$C$114,0)-1,0)</f>
        <v>2.2999999999999998</v>
      </c>
      <c r="I29" s="86">
        <f ca="1">2.2*OFFSET(I$113,MATCH($N$1,$C$113:$C$114,0)-1,0)</f>
        <v>2.2000000000000002</v>
      </c>
      <c r="J29" s="86">
        <f ca="1">1.7*OFFSET(J$113,MATCH($N$1,$C$113:$C$114,0)-1,0)</f>
        <v>1.7</v>
      </c>
      <c r="K29" s="86">
        <f ca="1">2.6*OFFSET(K$113,MATCH($N$1,$C$113:$C$114,0)-1,0)</f>
        <v>2.6</v>
      </c>
      <c r="L29" s="86">
        <f ca="1">8*OFFSET(L$113,MATCH($N$1,$C$113:$C$114,0)-1,0)</f>
        <v>8</v>
      </c>
      <c r="M29" s="86">
        <f ca="1">2.6*OFFSET(M$113,MATCH($N$1,$C$113:$C$114,0)-1,0)</f>
        <v>2.6</v>
      </c>
      <c r="N29" s="86">
        <v>2.8000000000000003</v>
      </c>
      <c r="O29" s="84">
        <f t="shared" ca="1" si="0"/>
        <v>-0.29999999999999993</v>
      </c>
      <c r="P29" s="84">
        <f t="shared" ca="1" si="1"/>
        <v>0.64705882352941202</v>
      </c>
    </row>
    <row r="30" spans="1:16" s="78" customFormat="1" ht="18" customHeight="1">
      <c r="A30" s="192"/>
      <c r="B30" s="87" t="s">
        <v>211</v>
      </c>
      <c r="C30" s="88"/>
      <c r="D30" s="88">
        <f ca="1">88.2*OFFSET(D$113,MATCH($N$1,$C$113:$C$114,0)-1,0)</f>
        <v>88.2</v>
      </c>
      <c r="E30" s="88">
        <f ca="1">81*OFFSET(E$113,MATCH($N$1,$C$113:$C$114,0)-1,0)</f>
        <v>81</v>
      </c>
      <c r="F30" s="88">
        <f ca="1">86*OFFSET(F$113,MATCH($N$1,$C$113:$C$114,0)-1,0)</f>
        <v>86</v>
      </c>
      <c r="G30" s="88">
        <f ca="1">70.1*OFFSET(G$113,MATCH($N$1,$C$113:$C$114,0)-1,0)</f>
        <v>70.099999999999994</v>
      </c>
      <c r="H30" s="88">
        <f ca="1">86.8*OFFSET(H$113,MATCH($N$1,$C$113:$C$114,0)-1,0)</f>
        <v>86.8</v>
      </c>
      <c r="I30" s="88">
        <f ca="1">91*OFFSET(I$113,MATCH($N$1,$C$113:$C$114,0)-1,0)</f>
        <v>91</v>
      </c>
      <c r="J30" s="88">
        <f ca="1">87.4*OFFSET(J$113,MATCH($N$1,$C$113:$C$114,0)-1,0)</f>
        <v>87.4</v>
      </c>
      <c r="K30" s="88">
        <f ca="1">95.3*OFFSET(K$113,MATCH($N$1,$C$113:$C$114,0)-1,0)</f>
        <v>95.3</v>
      </c>
      <c r="L30" s="88">
        <f ca="1">62.6*OFFSET(L$113,MATCH($N$1,$C$113:$C$114,0)-1,0)</f>
        <v>62.6</v>
      </c>
      <c r="M30" s="88">
        <f ca="1">68.2*OFFSET(M$113,MATCH($N$1,$C$113:$C$114,0)-1,0)</f>
        <v>68.2</v>
      </c>
      <c r="N30" s="88">
        <v>88.4</v>
      </c>
      <c r="O30" s="84">
        <f t="shared" ca="1" si="0"/>
        <v>2.2675736961451569E-3</v>
      </c>
      <c r="P30" s="84">
        <f t="shared" ca="1" si="1"/>
        <v>1.1441647597254004E-2</v>
      </c>
    </row>
    <row r="31" spans="1:16" s="78" customFormat="1" ht="18" customHeight="1">
      <c r="A31" s="192"/>
      <c r="B31" s="85" t="s">
        <v>212</v>
      </c>
      <c r="C31" s="86"/>
      <c r="D31" s="86">
        <f ca="1">14*OFFSET(D$113,MATCH($N$1,$C$113:$C$114,0)-1,0)</f>
        <v>14</v>
      </c>
      <c r="E31" s="86">
        <f ca="1">12.8*OFFSET(E$113,MATCH($N$1,$C$113:$C$114,0)-1,0)</f>
        <v>12.8</v>
      </c>
      <c r="F31" s="86">
        <f ca="1">12.8*OFFSET(F$113,MATCH($N$1,$C$113:$C$114,0)-1,0)</f>
        <v>12.8</v>
      </c>
      <c r="G31" s="86">
        <f ca="1">8.8*OFFSET(G$113,MATCH($N$1,$C$113:$C$114,0)-1,0)</f>
        <v>8.8000000000000007</v>
      </c>
      <c r="H31" s="86">
        <f ca="1">8.5*OFFSET(H$113,MATCH($N$1,$C$113:$C$114,0)-1,0)</f>
        <v>8.5</v>
      </c>
      <c r="I31" s="86">
        <f ca="1">8.8*OFFSET(I$113,MATCH($N$1,$C$113:$C$114,0)-1,0)</f>
        <v>8.8000000000000007</v>
      </c>
      <c r="J31" s="86">
        <f ca="1">10.4*OFFSET(J$113,MATCH($N$1,$C$113:$C$114,0)-1,0)</f>
        <v>10.4</v>
      </c>
      <c r="K31" s="86">
        <f ca="1">10.3*OFFSET(K$113,MATCH($N$1,$C$113:$C$114,0)-1,0)</f>
        <v>10.3</v>
      </c>
      <c r="L31" s="86">
        <f ca="1">5.4*OFFSET(L$113,MATCH($N$1,$C$113:$C$114,0)-1,0)</f>
        <v>5.4</v>
      </c>
      <c r="M31" s="86">
        <f ca="1">6.9*OFFSET(M$113,MATCH($N$1,$C$113:$C$114,0)-1,0)</f>
        <v>6.9</v>
      </c>
      <c r="N31" s="86">
        <v>12.5</v>
      </c>
      <c r="O31" s="84">
        <f t="shared" ca="1" si="0"/>
        <v>-0.10714285714285714</v>
      </c>
      <c r="P31" s="84">
        <f t="shared" ca="1" si="1"/>
        <v>0.20192307692307687</v>
      </c>
    </row>
    <row r="32" spans="1:16" s="78" customFormat="1" ht="18" customHeight="1">
      <c r="A32" s="192"/>
      <c r="B32" s="85" t="s">
        <v>213</v>
      </c>
      <c r="C32" s="86"/>
      <c r="D32" s="86">
        <f ca="1">25*OFFSET(D$113,MATCH($N$1,$C$113:$C$114,0)-1,0)</f>
        <v>25</v>
      </c>
      <c r="E32" s="86">
        <f ca="1">19.6*OFFSET(E$113,MATCH($N$1,$C$113:$C$114,0)-1,0)</f>
        <v>19.600000000000001</v>
      </c>
      <c r="F32" s="86">
        <f ca="1">20.8*OFFSET(F$113,MATCH($N$1,$C$113:$C$114,0)-1,0)</f>
        <v>20.8</v>
      </c>
      <c r="G32" s="86">
        <f ca="1">17.6*OFFSET(G$113,MATCH($N$1,$C$113:$C$114,0)-1,0)</f>
        <v>17.600000000000001</v>
      </c>
      <c r="H32" s="86">
        <f ca="1">17.5*OFFSET(H$113,MATCH($N$1,$C$113:$C$114,0)-1,0)</f>
        <v>17.5</v>
      </c>
      <c r="I32" s="86">
        <f ca="1">21.8*OFFSET(I$113,MATCH($N$1,$C$113:$C$114,0)-1,0)</f>
        <v>21.8</v>
      </c>
      <c r="J32" s="86">
        <f ca="1">23.1*OFFSET(J$113,MATCH($N$1,$C$113:$C$114,0)-1,0)</f>
        <v>23.1</v>
      </c>
      <c r="K32" s="86">
        <f ca="1">27.9*OFFSET(K$113,MATCH($N$1,$C$113:$C$114,0)-1,0)</f>
        <v>27.9</v>
      </c>
      <c r="L32" s="86">
        <f ca="1">16.7*OFFSET(L$113,MATCH($N$1,$C$113:$C$114,0)-1,0)</f>
        <v>16.7</v>
      </c>
      <c r="M32" s="86">
        <f ca="1">19.2*OFFSET(M$113,MATCH($N$1,$C$113:$C$114,0)-1,0)</f>
        <v>19.2</v>
      </c>
      <c r="N32" s="86">
        <v>23.7</v>
      </c>
      <c r="O32" s="84">
        <f t="shared" ca="1" si="0"/>
        <v>-5.2000000000000025E-2</v>
      </c>
      <c r="P32" s="84">
        <f t="shared" ca="1" si="1"/>
        <v>2.5974025974025879E-2</v>
      </c>
    </row>
    <row r="33" spans="1:16" s="78" customFormat="1" ht="18" customHeight="1">
      <c r="A33" s="192"/>
      <c r="B33" s="85" t="s">
        <v>214</v>
      </c>
      <c r="C33" s="86"/>
      <c r="D33" s="86">
        <f ca="1">10.7*OFFSET(D$113,MATCH($N$1,$C$113:$C$114,0)-1,0)</f>
        <v>10.7</v>
      </c>
      <c r="E33" s="86">
        <f ca="1">12.3*OFFSET(E$113,MATCH($N$1,$C$113:$C$114,0)-1,0)</f>
        <v>12.3</v>
      </c>
      <c r="F33" s="86">
        <f ca="1">12.7*OFFSET(F$113,MATCH($N$1,$C$113:$C$114,0)-1,0)</f>
        <v>12.7</v>
      </c>
      <c r="G33" s="86">
        <f ca="1">10*OFFSET(G$113,MATCH($N$1,$C$113:$C$114,0)-1,0)</f>
        <v>10</v>
      </c>
      <c r="H33" s="86">
        <f ca="1">15.3*OFFSET(H$113,MATCH($N$1,$C$113:$C$114,0)-1,0)</f>
        <v>15.3</v>
      </c>
      <c r="I33" s="86">
        <f ca="1">13.3*OFFSET(I$113,MATCH($N$1,$C$113:$C$114,0)-1,0)</f>
        <v>13.3</v>
      </c>
      <c r="J33" s="86">
        <f ca="1">13.5*OFFSET(J$113,MATCH($N$1,$C$113:$C$114,0)-1,0)</f>
        <v>13.5</v>
      </c>
      <c r="K33" s="86">
        <f ca="1">12.2*OFFSET(K$113,MATCH($N$1,$C$113:$C$114,0)-1,0)</f>
        <v>12.2</v>
      </c>
      <c r="L33" s="86">
        <f ca="1">8*OFFSET(L$113,MATCH($N$1,$C$113:$C$114,0)-1,0)</f>
        <v>8</v>
      </c>
      <c r="M33" s="86">
        <f ca="1">11.4*OFFSET(M$113,MATCH($N$1,$C$113:$C$114,0)-1,0)</f>
        <v>11.4</v>
      </c>
      <c r="N33" s="86">
        <v>14.9</v>
      </c>
      <c r="O33" s="84">
        <f t="shared" ca="1" si="0"/>
        <v>0.39252336448598141</v>
      </c>
      <c r="P33" s="84">
        <f t="shared" ca="1" si="1"/>
        <v>0.10370370370370373</v>
      </c>
    </row>
    <row r="34" spans="1:16" s="78" customFormat="1" ht="18" customHeight="1">
      <c r="A34" s="192"/>
      <c r="B34" s="85" t="s">
        <v>215</v>
      </c>
      <c r="C34" s="86"/>
      <c r="D34" s="86">
        <f ca="1">49.7*OFFSET(D$113,MATCH($N$1,$C$113:$C$114,0)-1,0)</f>
        <v>49.7</v>
      </c>
      <c r="E34" s="86">
        <f ca="1">44.8*OFFSET(E$113,MATCH($N$1,$C$113:$C$114,0)-1,0)</f>
        <v>44.8</v>
      </c>
      <c r="F34" s="86">
        <f ca="1">46.4*OFFSET(F$113,MATCH($N$1,$C$113:$C$114,0)-1,0)</f>
        <v>46.4</v>
      </c>
      <c r="G34" s="86">
        <f ca="1">36.4*OFFSET(G$113,MATCH($N$1,$C$113:$C$114,0)-1,0)</f>
        <v>36.4</v>
      </c>
      <c r="H34" s="86">
        <f ca="1">41.3*OFFSET(H$113,MATCH($N$1,$C$113:$C$114,0)-1,0)</f>
        <v>41.3</v>
      </c>
      <c r="I34" s="86">
        <f ca="1">43.9*OFFSET(I$113,MATCH($N$1,$C$113:$C$114,0)-1,0)</f>
        <v>43.9</v>
      </c>
      <c r="J34" s="86">
        <f ca="1">47*OFFSET(J$113,MATCH($N$1,$C$113:$C$114,0)-1,0)</f>
        <v>47</v>
      </c>
      <c r="K34" s="86">
        <f ca="1">50.4*OFFSET(K$113,MATCH($N$1,$C$113:$C$114,0)-1,0)</f>
        <v>50.4</v>
      </c>
      <c r="L34" s="86">
        <f ca="1">30*OFFSET(L$113,MATCH($N$1,$C$113:$C$114,0)-1,0)</f>
        <v>30</v>
      </c>
      <c r="M34" s="86">
        <f ca="1">37.5*OFFSET(M$113,MATCH($N$1,$C$113:$C$114,0)-1,0)</f>
        <v>37.5</v>
      </c>
      <c r="N34" s="86">
        <v>51.1</v>
      </c>
      <c r="O34" s="84">
        <f t="shared" ca="1" si="0"/>
        <v>2.8169014084507012E-2</v>
      </c>
      <c r="P34" s="84">
        <f t="shared" ca="1" si="1"/>
        <v>8.7234042553191518E-2</v>
      </c>
    </row>
    <row r="35" spans="1:16" s="78" customFormat="1" ht="18" customHeight="1">
      <c r="A35" s="192"/>
      <c r="B35" s="85" t="s">
        <v>216</v>
      </c>
      <c r="C35" s="86"/>
      <c r="D35" s="86">
        <f ca="1">21.4*OFFSET(D$113,MATCH($N$1,$C$113:$C$114,0)-1,0)</f>
        <v>21.4</v>
      </c>
      <c r="E35" s="86">
        <f ca="1">17.8*OFFSET(E$113,MATCH($N$1,$C$113:$C$114,0)-1,0)</f>
        <v>17.8</v>
      </c>
      <c r="F35" s="86">
        <f ca="1">21.5*OFFSET(F$113,MATCH($N$1,$C$113:$C$114,0)-1,0)</f>
        <v>21.5</v>
      </c>
      <c r="G35" s="86">
        <f ca="1">20.1*OFFSET(G$113,MATCH($N$1,$C$113:$C$114,0)-1,0)</f>
        <v>20.100000000000001</v>
      </c>
      <c r="H35" s="86">
        <f ca="1">20*OFFSET(H$113,MATCH($N$1,$C$113:$C$114,0)-1,0)</f>
        <v>20</v>
      </c>
      <c r="I35" s="86">
        <f ca="1">19.2*OFFSET(I$113,MATCH($N$1,$C$113:$C$114,0)-1,0)</f>
        <v>19.2</v>
      </c>
      <c r="J35" s="86">
        <f ca="1">23.2*OFFSET(J$113,MATCH($N$1,$C$113:$C$114,0)-1,0)</f>
        <v>23.2</v>
      </c>
      <c r="K35" s="86">
        <f ca="1">22.9*OFFSET(K$113,MATCH($N$1,$C$113:$C$114,0)-1,0)</f>
        <v>22.9</v>
      </c>
      <c r="L35" s="86">
        <f ca="1">13*OFFSET(L$113,MATCH($N$1,$C$113:$C$114,0)-1,0)</f>
        <v>13</v>
      </c>
      <c r="M35" s="86">
        <f ca="1">20*OFFSET(M$113,MATCH($N$1,$C$113:$C$114,0)-1,0)</f>
        <v>20</v>
      </c>
      <c r="N35" s="86">
        <v>26.1</v>
      </c>
      <c r="O35" s="84">
        <f t="shared" ca="1" si="0"/>
        <v>0.2196261682242992</v>
      </c>
      <c r="P35" s="84">
        <f t="shared" ca="1" si="1"/>
        <v>0.12500000000000008</v>
      </c>
    </row>
    <row r="36" spans="1:16" s="78" customFormat="1" ht="18" customHeight="1">
      <c r="A36" s="192"/>
      <c r="B36" s="85" t="s">
        <v>217</v>
      </c>
      <c r="C36" s="86"/>
      <c r="D36" s="86">
        <f ca="1">71.1*OFFSET(D$113,MATCH($N$1,$C$113:$C$114,0)-1,0)</f>
        <v>71.099999999999994</v>
      </c>
      <c r="E36" s="86">
        <f ca="1">62.5*OFFSET(E$113,MATCH($N$1,$C$113:$C$114,0)-1,0)</f>
        <v>62.5</v>
      </c>
      <c r="F36" s="86">
        <f ca="1">67.8*OFFSET(F$113,MATCH($N$1,$C$113:$C$114,0)-1,0)</f>
        <v>67.8</v>
      </c>
      <c r="G36" s="86">
        <f ca="1">56.4*OFFSET(G$113,MATCH($N$1,$C$113:$C$114,0)-1,0)</f>
        <v>56.4</v>
      </c>
      <c r="H36" s="86">
        <f ca="1">61.4*OFFSET(H$113,MATCH($N$1,$C$113:$C$114,0)-1,0)</f>
        <v>61.4</v>
      </c>
      <c r="I36" s="86">
        <f ca="1">63.1*OFFSET(I$113,MATCH($N$1,$C$113:$C$114,0)-1,0)</f>
        <v>63.1</v>
      </c>
      <c r="J36" s="86">
        <f ca="1">70.2*OFFSET(J$113,MATCH($N$1,$C$113:$C$114,0)-1,0)</f>
        <v>70.2</v>
      </c>
      <c r="K36" s="86">
        <f ca="1">73.3*OFFSET(K$113,MATCH($N$1,$C$113:$C$114,0)-1,0)</f>
        <v>73.3</v>
      </c>
      <c r="L36" s="86">
        <f ca="1">43.1*OFFSET(L$113,MATCH($N$1,$C$113:$C$114,0)-1,0)</f>
        <v>43.1</v>
      </c>
      <c r="M36" s="86">
        <f ca="1">57.5*OFFSET(M$113,MATCH($N$1,$C$113:$C$114,0)-1,0)</f>
        <v>57.5</v>
      </c>
      <c r="N36" s="86">
        <v>77.100000000000009</v>
      </c>
      <c r="O36" s="84">
        <f t="shared" ca="1" si="0"/>
        <v>8.4388185654008643E-2</v>
      </c>
      <c r="P36" s="84">
        <f t="shared" ca="1" si="1"/>
        <v>9.8290598290598372E-2</v>
      </c>
    </row>
    <row r="37" spans="1:16" s="78" customFormat="1" ht="18" customHeight="1">
      <c r="A37" s="192"/>
      <c r="B37" s="87" t="s">
        <v>218</v>
      </c>
      <c r="C37" s="88"/>
      <c r="D37" s="88">
        <f ca="1">42*OFFSET(D$113,MATCH($N$1,$C$113:$C$114,0)-1,0)</f>
        <v>42</v>
      </c>
      <c r="E37" s="88">
        <f ca="1">38*OFFSET(E$113,MATCH($N$1,$C$113:$C$114,0)-1,0)</f>
        <v>38</v>
      </c>
      <c r="F37" s="88">
        <f ca="1">39*OFFSET(F$113,MATCH($N$1,$C$113:$C$114,0)-1,0)</f>
        <v>39</v>
      </c>
      <c r="G37" s="88">
        <f ca="1">31.2*OFFSET(G$113,MATCH($N$1,$C$113:$C$114,0)-1,0)</f>
        <v>31.2</v>
      </c>
      <c r="H37" s="88">
        <f ca="1">43*OFFSET(H$113,MATCH($N$1,$C$113:$C$114,0)-1,0)</f>
        <v>43</v>
      </c>
      <c r="I37" s="88">
        <f ca="1">49.6*OFFSET(I$113,MATCH($N$1,$C$113:$C$114,0)-1,0)</f>
        <v>49.6</v>
      </c>
      <c r="J37" s="88">
        <f ca="1">40.3*OFFSET(J$113,MATCH($N$1,$C$113:$C$114,0)-1,0)</f>
        <v>40.299999999999997</v>
      </c>
      <c r="K37" s="88">
        <f ca="1">49.9*OFFSET(K$113,MATCH($N$1,$C$113:$C$114,0)-1,0)</f>
        <v>49.9</v>
      </c>
      <c r="L37" s="88">
        <f ca="1">36.3*OFFSET(L$113,MATCH($N$1,$C$113:$C$114,0)-1,0)</f>
        <v>36.299999999999997</v>
      </c>
      <c r="M37" s="88">
        <f ca="1">29.9*OFFSET(M$113,MATCH($N$1,$C$113:$C$114,0)-1,0)</f>
        <v>29.9</v>
      </c>
      <c r="N37" s="88">
        <v>35</v>
      </c>
      <c r="O37" s="84">
        <f t="shared" ca="1" si="0"/>
        <v>-0.16666666666666666</v>
      </c>
      <c r="P37" s="84">
        <f t="shared" ca="1" si="1"/>
        <v>-0.13151364764267984</v>
      </c>
    </row>
    <row r="38" spans="1:16" s="78" customFormat="1" ht="18" customHeight="1">
      <c r="A38" s="192"/>
      <c r="B38" s="87" t="s">
        <v>219</v>
      </c>
      <c r="C38" s="88"/>
      <c r="D38" s="88">
        <f ca="1">17*OFFSET(D$113,MATCH($N$1,$C$113:$C$114,0)-1,0)</f>
        <v>17</v>
      </c>
      <c r="E38" s="88">
        <f ca="1">18.4*OFFSET(E$113,MATCH($N$1,$C$113:$C$114,0)-1,0)</f>
        <v>18.399999999999999</v>
      </c>
      <c r="F38" s="88">
        <f ca="1">18.2*OFFSET(F$113,MATCH($N$1,$C$113:$C$114,0)-1,0)</f>
        <v>18.2</v>
      </c>
      <c r="G38" s="88">
        <f ca="1">13.6*OFFSET(G$113,MATCH($N$1,$C$113:$C$114,0)-1,0)</f>
        <v>13.6</v>
      </c>
      <c r="H38" s="88">
        <f ca="1">25.5*OFFSET(H$113,MATCH($N$1,$C$113:$C$114,0)-1,0)</f>
        <v>25.5</v>
      </c>
      <c r="I38" s="88">
        <f ca="1">27.8*OFFSET(I$113,MATCH($N$1,$C$113:$C$114,0)-1,0)</f>
        <v>27.8</v>
      </c>
      <c r="J38" s="88">
        <f ca="1">17.2*OFFSET(J$113,MATCH($N$1,$C$113:$C$114,0)-1,0)</f>
        <v>17.2</v>
      </c>
      <c r="K38" s="88">
        <f ca="1">22*OFFSET(K$113,MATCH($N$1,$C$113:$C$114,0)-1,0)</f>
        <v>22</v>
      </c>
      <c r="L38" s="88">
        <f ca="1">19.6*OFFSET(L$113,MATCH($N$1,$C$113:$C$114,0)-1,0)</f>
        <v>19.600000000000001</v>
      </c>
      <c r="M38" s="88">
        <f ca="1">10.7*OFFSET(M$113,MATCH($N$1,$C$113:$C$114,0)-1,0)</f>
        <v>10.7</v>
      </c>
      <c r="N38" s="88">
        <v>11.3</v>
      </c>
      <c r="O38" s="84">
        <f t="shared" ca="1" si="0"/>
        <v>-0.3352941176470588</v>
      </c>
      <c r="P38" s="84">
        <f t="shared" ca="1" si="1"/>
        <v>-0.34302325581395343</v>
      </c>
    </row>
    <row r="39" spans="1:16" s="78" customFormat="1" ht="18" customHeight="1">
      <c r="A39" s="192"/>
      <c r="B39" s="85" t="s">
        <v>220</v>
      </c>
      <c r="C39" s="86"/>
      <c r="D39" s="86">
        <f ca="1">5*OFFSET(D$113,MATCH($N$1,$C$113:$C$114,0)-1,0)</f>
        <v>5</v>
      </c>
      <c r="E39" s="86">
        <f ca="1">3.4*OFFSET(E$113,MATCH($N$1,$C$113:$C$114,0)-1,0)</f>
        <v>3.4</v>
      </c>
      <c r="F39" s="86">
        <f ca="1">3.8*OFFSET(F$113,MATCH($N$1,$C$113:$C$114,0)-1,0)</f>
        <v>3.8</v>
      </c>
      <c r="G39" s="86">
        <f ca="1">2.8*OFFSET(G$113,MATCH($N$1,$C$113:$C$114,0)-1,0)</f>
        <v>2.8</v>
      </c>
      <c r="H39" s="86">
        <f ca="1">2.5*OFFSET(H$113,MATCH($N$1,$C$113:$C$114,0)-1,0)</f>
        <v>2.5</v>
      </c>
      <c r="I39" s="86">
        <f ca="1">6.2*OFFSET(I$113,MATCH($N$1,$C$113:$C$114,0)-1,0)</f>
        <v>6.2</v>
      </c>
      <c r="J39" s="86">
        <f ca="1">4.6*OFFSET(J$113,MATCH($N$1,$C$113:$C$114,0)-1,0)</f>
        <v>4.5999999999999996</v>
      </c>
      <c r="K39" s="86">
        <f ca="1">4.3*OFFSET(K$113,MATCH($N$1,$C$113:$C$114,0)-1,0)</f>
        <v>4.3</v>
      </c>
      <c r="L39" s="86">
        <f ca="1">3.7*OFFSET(L$113,MATCH($N$1,$C$113:$C$114,0)-1,0)</f>
        <v>3.7</v>
      </c>
      <c r="M39" s="86">
        <f ca="1">4*OFFSET(M$113,MATCH($N$1,$C$113:$C$114,0)-1,0)</f>
        <v>4</v>
      </c>
      <c r="N39" s="86"/>
      <c r="O39" s="84" t="str">
        <f t="shared" si="0"/>
        <v/>
      </c>
      <c r="P39" s="84" t="str">
        <f t="shared" si="1"/>
        <v/>
      </c>
    </row>
    <row r="40" spans="1:16" s="78" customFormat="1" ht="18" customHeight="1">
      <c r="A40" s="192"/>
      <c r="B40" s="85" t="s">
        <v>221</v>
      </c>
      <c r="C40" s="86"/>
      <c r="D40" s="86">
        <f ca="1">0.7*OFFSET(D$113,MATCH($N$1,$C$113:$C$114,0)-1,0)</f>
        <v>0.7</v>
      </c>
      <c r="E40" s="86">
        <f ca="1">1.7*OFFSET(E$113,MATCH($N$1,$C$113:$C$114,0)-1,0)</f>
        <v>1.7</v>
      </c>
      <c r="F40" s="86">
        <f ca="1">2*OFFSET(F$113,MATCH($N$1,$C$113:$C$114,0)-1,0)</f>
        <v>2</v>
      </c>
      <c r="G40" s="86">
        <f ca="1">0.5*OFFSET(G$113,MATCH($N$1,$C$113:$C$114,0)-1,0)</f>
        <v>0.5</v>
      </c>
      <c r="H40" s="86">
        <f ca="1">0.4*OFFSET(H$113,MATCH($N$1,$C$113:$C$114,0)-1,0)</f>
        <v>0.4</v>
      </c>
      <c r="I40" s="86">
        <f ca="1">0.5*OFFSET(I$113,MATCH($N$1,$C$113:$C$114,0)-1,0)</f>
        <v>0.5</v>
      </c>
      <c r="J40" s="86">
        <f ca="1">0.3*OFFSET(J$113,MATCH($N$1,$C$113:$C$114,0)-1,0)</f>
        <v>0.3</v>
      </c>
      <c r="K40" s="86">
        <f ca="1">0.6*OFFSET(K$113,MATCH($N$1,$C$113:$C$114,0)-1,0)</f>
        <v>0.6</v>
      </c>
      <c r="L40" s="86">
        <f ca="1">0.8*OFFSET(L$113,MATCH($N$1,$C$113:$C$114,0)-1,0)</f>
        <v>0.8</v>
      </c>
      <c r="M40" s="86">
        <f ca="1">0.7*OFFSET(M$113,MATCH($N$1,$C$113:$C$114,0)-1,0)</f>
        <v>0.7</v>
      </c>
      <c r="N40" s="86"/>
      <c r="O40" s="84" t="str">
        <f t="shared" si="0"/>
        <v/>
      </c>
      <c r="P40" s="84" t="str">
        <f t="shared" si="1"/>
        <v/>
      </c>
    </row>
    <row r="41" spans="1:16" s="78" customFormat="1" ht="18" customHeight="1">
      <c r="A41" s="192"/>
      <c r="B41" s="85" t="s">
        <v>222</v>
      </c>
      <c r="C41" s="86"/>
      <c r="D41" s="86">
        <f ca="1">0.3*OFFSET(D$113,MATCH($N$1,$C$113:$C$114,0)-1,0)</f>
        <v>0.3</v>
      </c>
      <c r="E41" s="86">
        <f ca="1">0.4*OFFSET(E$113,MATCH($N$1,$C$113:$C$114,0)-1,0)</f>
        <v>0.4</v>
      </c>
      <c r="F41" s="86">
        <f ca="1">0.4*OFFSET(F$113,MATCH($N$1,$C$113:$C$114,0)-1,0)</f>
        <v>0.4</v>
      </c>
      <c r="G41" s="86">
        <f ca="1">0.8*OFFSET(G$113,MATCH($N$1,$C$113:$C$114,0)-1,0)</f>
        <v>0.8</v>
      </c>
      <c r="H41" s="86">
        <f ca="1">0.6*OFFSET(H$113,MATCH($N$1,$C$113:$C$114,0)-1,0)</f>
        <v>0.6</v>
      </c>
      <c r="I41" s="86">
        <f ca="1">1.2*OFFSET(I$113,MATCH($N$1,$C$113:$C$114,0)-1,0)</f>
        <v>1.2</v>
      </c>
      <c r="J41" s="86">
        <f ca="1">2.4*OFFSET(J$113,MATCH($N$1,$C$113:$C$114,0)-1,0)</f>
        <v>2.4</v>
      </c>
      <c r="K41" s="86">
        <f ca="1">0.4*OFFSET(K$113,MATCH($N$1,$C$113:$C$114,0)-1,0)</f>
        <v>0.4</v>
      </c>
      <c r="L41" s="86">
        <f ca="1">0.4*OFFSET(L$113,MATCH($N$1,$C$113:$C$114,0)-1,0)</f>
        <v>0.4</v>
      </c>
      <c r="M41" s="86">
        <f ca="1">0.1*OFFSET(M$113,MATCH($N$1,$C$113:$C$114,0)-1,0)</f>
        <v>0.1</v>
      </c>
      <c r="N41" s="86"/>
      <c r="O41" s="84" t="str">
        <f t="shared" si="0"/>
        <v/>
      </c>
      <c r="P41" s="84" t="str">
        <f t="shared" si="1"/>
        <v/>
      </c>
    </row>
    <row r="42" spans="1:16" s="78" customFormat="1" ht="18" customHeight="1" thickBot="1">
      <c r="A42" s="193"/>
      <c r="B42" s="89" t="s">
        <v>223</v>
      </c>
      <c r="C42" s="90"/>
      <c r="D42" s="90">
        <f ca="1">11.1*OFFSET(D$113,MATCH($N$1,$C$113:$C$114,0)-1,0)</f>
        <v>11.1</v>
      </c>
      <c r="E42" s="90">
        <f ca="1">13*OFFSET(E$113,MATCH($N$1,$C$113:$C$114,0)-1,0)</f>
        <v>13</v>
      </c>
      <c r="F42" s="90">
        <f ca="1">12*OFFSET(F$113,MATCH($N$1,$C$113:$C$114,0)-1,0)</f>
        <v>12</v>
      </c>
      <c r="G42" s="90">
        <f ca="1">9.6*OFFSET(G$113,MATCH($N$1,$C$113:$C$114,0)-1,0)</f>
        <v>9.6</v>
      </c>
      <c r="H42" s="90">
        <f ca="1">21.9*OFFSET(H$113,MATCH($N$1,$C$113:$C$114,0)-1,0)</f>
        <v>21.9</v>
      </c>
      <c r="I42" s="90">
        <f ca="1">20*OFFSET(I$113,MATCH($N$1,$C$113:$C$114,0)-1,0)</f>
        <v>20</v>
      </c>
      <c r="J42" s="90">
        <f ca="1">9.9*OFFSET(J$113,MATCH($N$1,$C$113:$C$114,0)-1,0)</f>
        <v>9.9</v>
      </c>
      <c r="K42" s="90">
        <f ca="1">16.7*OFFSET(K$113,MATCH($N$1,$C$113:$C$114,0)-1,0)</f>
        <v>16.7</v>
      </c>
      <c r="L42" s="90">
        <f ca="1">14.7*OFFSET(L$113,MATCH($N$1,$C$113:$C$114,0)-1,0)</f>
        <v>14.7</v>
      </c>
      <c r="M42" s="90">
        <f ca="1">5.9*OFFSET(M$113,MATCH($N$1,$C$113:$C$114,0)-1,0)</f>
        <v>5.9</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Under 10m demersal trawl/seine</v>
      </c>
      <c r="C49" s="101"/>
      <c r="D49" s="101"/>
      <c r="E49" s="101"/>
      <c r="F49" s="101"/>
      <c r="G49" s="101"/>
      <c r="K49" s="101" t="str">
        <f>$B25&amp;CHAR(10)&amp;$A$1</f>
        <v>Operating profit per kW day at sea (£)
Under 10m demersal trawl/seine</v>
      </c>
    </row>
    <row r="50" spans="1:11" s="78" customFormat="1">
      <c r="A50" s="101" t="str">
        <f>$B23&amp;CHAR(10)&amp;$A$1</f>
        <v>Fishing income per kW day at sea (£)
Under 10m demersal trawl/seine</v>
      </c>
    </row>
    <row r="51" spans="1:11" s="78" customFormat="1">
      <c r="A51" s="101" t="str">
        <f>$B21&amp;CHAR(10)&amp;$A$1</f>
        <v>Average price per tonne landed (£)
Under 10m demersal trawl/seine</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Under 10m demersal trawl/seine</v>
      </c>
      <c r="F63" s="101" t="str">
        <f>$B21&amp;CHAR(10)&amp;$A$1</f>
        <v>Average price per tonne landed (£)
Under 10m demersal trawl/seine</v>
      </c>
      <c r="K63" s="101" t="str">
        <f>"Average annual operating profit per vessel (£'000)"&amp;CHAR(10)&amp;$A$1</f>
        <v>Average annual operating profit per vessel (£'000)
Under 10m demersal trawl/seine</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Under 10m demersal trawl/seine</v>
      </c>
      <c r="F77" s="101" t="str">
        <f>"Top 5 landed species by value in "&amp;A78&amp;CHAR(10)&amp;A1</f>
        <v>Top 5 landed species by value in 2021
Under 10m demersal trawl/seine</v>
      </c>
    </row>
    <row r="78" spans="1:11" s="101" customFormat="1">
      <c r="A78" s="101">
        <v>2021</v>
      </c>
      <c r="B78" s="101" t="s">
        <v>582</v>
      </c>
      <c r="C78" s="102">
        <v>0.4058153190813924</v>
      </c>
      <c r="D78" s="103">
        <v>12153634</v>
      </c>
      <c r="G78" s="101" t="s">
        <v>583</v>
      </c>
      <c r="H78" s="102">
        <v>0.40830669192529623</v>
      </c>
      <c r="I78" s="103">
        <v>12153634</v>
      </c>
      <c r="K78" s="101" t="s">
        <v>237</v>
      </c>
    </row>
    <row r="79" spans="1:11" s="101" customFormat="1">
      <c r="B79" s="101" t="s">
        <v>584</v>
      </c>
      <c r="C79" s="102">
        <v>0.12643419764515626</v>
      </c>
      <c r="D79" s="103">
        <v>3050596</v>
      </c>
      <c r="G79" s="101" t="s">
        <v>585</v>
      </c>
      <c r="H79" s="102">
        <v>0.17532179005070064</v>
      </c>
      <c r="I79" s="103">
        <v>553960</v>
      </c>
    </row>
    <row r="80" spans="1:11" s="101" customFormat="1">
      <c r="B80" s="101" t="s">
        <v>586</v>
      </c>
      <c r="C80" s="102">
        <v>4.4794579378969704E-2</v>
      </c>
      <c r="D80" s="103">
        <v>3689192</v>
      </c>
      <c r="G80" s="101" t="s">
        <v>587</v>
      </c>
      <c r="H80" s="102">
        <v>5.2848671801007344E-2</v>
      </c>
      <c r="I80" s="103">
        <v>3050596</v>
      </c>
    </row>
    <row r="81" spans="1:19" s="101" customFormat="1">
      <c r="B81" s="101" t="s">
        <v>588</v>
      </c>
      <c r="C81" s="102">
        <v>4.1174950952663714E-2</v>
      </c>
      <c r="D81" s="103">
        <v>553960</v>
      </c>
      <c r="G81" s="101" t="s">
        <v>589</v>
      </c>
      <c r="H81" s="102">
        <v>4.1857009987494795E-2</v>
      </c>
      <c r="I81" s="103">
        <v>1692097</v>
      </c>
    </row>
    <row r="82" spans="1:19" s="101" customFormat="1">
      <c r="B82" s="101" t="s">
        <v>590</v>
      </c>
      <c r="C82" s="102">
        <v>4.0442517967351752E-2</v>
      </c>
      <c r="D82" s="103">
        <v>11115023</v>
      </c>
      <c r="G82" s="101" t="s">
        <v>591</v>
      </c>
      <c r="H82" s="102">
        <v>3.889549482814926E-2</v>
      </c>
      <c r="I82" s="103">
        <v>3689192</v>
      </c>
    </row>
    <row r="83" spans="1:19" s="101" customFormat="1">
      <c r="B83" s="101" t="s">
        <v>592</v>
      </c>
      <c r="C83" s="102">
        <v>0.34133843497446614</v>
      </c>
      <c r="D83" s="103">
        <v>5920853</v>
      </c>
      <c r="G83" s="101" t="s">
        <v>593</v>
      </c>
      <c r="H83" s="102">
        <v>0.28277034140735169</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0.48030103423782949</v>
      </c>
      <c r="E93" s="107">
        <v>0.5486506128302141</v>
      </c>
      <c r="F93" s="107">
        <v>0.4757522666569558</v>
      </c>
      <c r="G93" s="107">
        <v>0.50689197696367183</v>
      </c>
      <c r="H93" s="107">
        <v>0.46227691870025261</v>
      </c>
      <c r="I93" s="107">
        <v>0.49966774396386832</v>
      </c>
      <c r="J93" s="107">
        <v>0.47447301304355155</v>
      </c>
      <c r="K93" s="107">
        <v>0.39602132099475956</v>
      </c>
      <c r="L93" s="107">
        <v>0.40830669192529623</v>
      </c>
      <c r="M93" s="107">
        <v>0.43809363388542555</v>
      </c>
      <c r="O93" s="101">
        <v>12153634</v>
      </c>
    </row>
    <row r="94" spans="1:19" s="101" customFormat="1" hidden="1">
      <c r="B94" s="101">
        <v>2</v>
      </c>
      <c r="C94" s="101" t="s">
        <v>175</v>
      </c>
      <c r="D94" s="107">
        <v>0.12547485386848753</v>
      </c>
      <c r="E94" s="107">
        <v>7.8621005651854023E-2</v>
      </c>
      <c r="F94" s="107">
        <v>8.6353515762858699E-2</v>
      </c>
      <c r="G94" s="107">
        <v>7.4938668413518331E-2</v>
      </c>
      <c r="H94" s="107">
        <v>7.8739227604737616E-2</v>
      </c>
      <c r="I94" s="107">
        <v>9.4021609751084437E-2</v>
      </c>
      <c r="J94" s="107">
        <v>0.10187991914593829</v>
      </c>
      <c r="K94" s="107">
        <v>0.14400309085468085</v>
      </c>
      <c r="L94" s="107">
        <v>0.17532179005070064</v>
      </c>
      <c r="M94" s="107">
        <v>0.18878254811123407</v>
      </c>
      <c r="O94" s="101">
        <v>553960</v>
      </c>
    </row>
    <row r="95" spans="1:19" s="101" customFormat="1" hidden="1">
      <c r="B95" s="101">
        <v>3</v>
      </c>
      <c r="C95" s="101" t="s">
        <v>176</v>
      </c>
      <c r="D95" s="107">
        <v>4.8353042078686993E-2</v>
      </c>
      <c r="E95" s="107">
        <v>4.5163162417323613E-2</v>
      </c>
      <c r="F95" s="107">
        <v>5.7111106540407346E-2</v>
      </c>
      <c r="G95" s="107">
        <v>4.5494895334366521E-2</v>
      </c>
      <c r="H95" s="107">
        <v>4.6831498960368909E-2</v>
      </c>
      <c r="I95" s="107">
        <v>4.659161418200522E-2</v>
      </c>
      <c r="J95" s="107"/>
      <c r="K95" s="107">
        <v>6.1087330954762903E-2</v>
      </c>
      <c r="L95" s="107">
        <v>5.2848671801007344E-2</v>
      </c>
      <c r="M95" s="107">
        <v>4.8685785187403352E-2</v>
      </c>
      <c r="O95" s="101">
        <v>3050596</v>
      </c>
    </row>
    <row r="96" spans="1:19" s="101" customFormat="1" hidden="1">
      <c r="B96" s="101">
        <v>4</v>
      </c>
      <c r="C96" s="101" t="s">
        <v>181</v>
      </c>
      <c r="D96" s="107">
        <v>4.2810390224912724E-2</v>
      </c>
      <c r="E96" s="107">
        <v>5.148440264264894E-2</v>
      </c>
      <c r="F96" s="107"/>
      <c r="G96" s="107">
        <v>5.1100943150440392E-2</v>
      </c>
      <c r="H96" s="107">
        <v>7.3056398125089364E-2</v>
      </c>
      <c r="I96" s="107">
        <v>7.9636557777047465E-2</v>
      </c>
      <c r="J96" s="107">
        <v>7.3451394282619861E-2</v>
      </c>
      <c r="K96" s="107">
        <v>6.61103882330389E-2</v>
      </c>
      <c r="L96" s="107">
        <v>4.1857009987494795E-2</v>
      </c>
      <c r="M96" s="107">
        <v>5.5394687967560911E-2</v>
      </c>
      <c r="O96" s="101">
        <v>1692097</v>
      </c>
    </row>
    <row r="97" spans="1:15" s="101" customFormat="1" hidden="1">
      <c r="B97" s="101">
        <v>5</v>
      </c>
      <c r="C97" s="101" t="s">
        <v>169</v>
      </c>
      <c r="D97" s="107"/>
      <c r="E97" s="107"/>
      <c r="F97" s="107"/>
      <c r="G97" s="107"/>
      <c r="H97" s="107"/>
      <c r="I97" s="107">
        <v>7.0211297906862605E-2</v>
      </c>
      <c r="J97" s="107">
        <v>4.7485408262302464E-2</v>
      </c>
      <c r="K97" s="107">
        <v>3.9990254674999996E-2</v>
      </c>
      <c r="L97" s="107">
        <v>3.889549482814926E-2</v>
      </c>
      <c r="M97" s="107"/>
      <c r="O97" s="101">
        <v>3689192</v>
      </c>
    </row>
    <row r="98" spans="1:15" s="101" customFormat="1" hidden="1">
      <c r="B98" s="101">
        <v>6</v>
      </c>
      <c r="C98" s="101" t="s">
        <v>180</v>
      </c>
      <c r="D98" s="107"/>
      <c r="E98" s="107"/>
      <c r="F98" s="107">
        <v>4.2445331947735726E-2</v>
      </c>
      <c r="G98" s="107"/>
      <c r="H98" s="107">
        <v>0.10297424976764692</v>
      </c>
      <c r="I98" s="107"/>
      <c r="J98" s="107">
        <v>5.2031658858822882E-2</v>
      </c>
      <c r="K98" s="107"/>
      <c r="L98" s="107"/>
      <c r="M98" s="107">
        <v>3.7982610270313265E-2</v>
      </c>
      <c r="O98" s="101">
        <v>11115023</v>
      </c>
    </row>
    <row r="99" spans="1:15" s="101" customFormat="1" hidden="1">
      <c r="B99" s="101">
        <v>7</v>
      </c>
      <c r="C99" s="101" t="s">
        <v>162</v>
      </c>
      <c r="D99" s="107">
        <v>5.3553319840432288E-2</v>
      </c>
      <c r="E99" s="107">
        <v>4.9089211866834154E-2</v>
      </c>
      <c r="F99" s="107">
        <v>5.3638306423876875E-2</v>
      </c>
      <c r="G99" s="107">
        <v>4.9050160292116396E-2</v>
      </c>
      <c r="H99" s="107"/>
      <c r="I99" s="107"/>
      <c r="J99" s="107"/>
      <c r="K99" s="107"/>
      <c r="L99" s="107"/>
      <c r="M99" s="107"/>
      <c r="O99" s="101">
        <v>2480382</v>
      </c>
    </row>
    <row r="100" spans="1:15" s="101" customFormat="1" hidden="1">
      <c r="B100" s="101">
        <v>8</v>
      </c>
      <c r="C100" s="101" t="s">
        <v>251</v>
      </c>
      <c r="D100" s="107">
        <v>0.24950735974965099</v>
      </c>
      <c r="E100" s="107">
        <v>0.22699160459112513</v>
      </c>
      <c r="F100" s="107">
        <v>0.28469947266816553</v>
      </c>
      <c r="G100" s="107">
        <v>0.27252335584588655</v>
      </c>
      <c r="H100" s="107">
        <v>0.23612170684190459</v>
      </c>
      <c r="I100" s="107">
        <v>0.209871176419132</v>
      </c>
      <c r="J100" s="107">
        <v>0.25067860640676498</v>
      </c>
      <c r="K100" s="107">
        <v>0.29278761428775779</v>
      </c>
      <c r="L100" s="107">
        <v>0.28277034140735169</v>
      </c>
      <c r="M100" s="107">
        <v>0.23106073457806289</v>
      </c>
      <c r="O100" s="101">
        <v>5920853</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9</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43</v>
      </c>
      <c r="D121" s="52">
        <v>87</v>
      </c>
      <c r="E121" s="52">
        <v>43</v>
      </c>
      <c r="F121" s="53">
        <v>173</v>
      </c>
    </row>
    <row r="122" spans="1:15" ht="18" customHeight="1">
      <c r="A122" s="186" t="s">
        <v>198</v>
      </c>
      <c r="B122" s="35" t="s">
        <v>199</v>
      </c>
      <c r="C122" s="54">
        <v>9.8232555389404297</v>
      </c>
      <c r="D122" s="54">
        <v>9.6485054739590357</v>
      </c>
      <c r="E122" s="54">
        <v>9.8209304809570313</v>
      </c>
      <c r="F122" s="55">
        <v>9.734797477722168</v>
      </c>
    </row>
    <row r="123" spans="1:15" ht="18" customHeight="1">
      <c r="A123" s="187"/>
      <c r="B123" s="37" t="s">
        <v>190</v>
      </c>
      <c r="C123" s="56">
        <v>134.93023681640625</v>
      </c>
      <c r="D123" s="56">
        <v>115.25287514171382</v>
      </c>
      <c r="E123" s="56">
        <v>104.55813598632813</v>
      </c>
      <c r="F123" s="57">
        <v>117.48554992675781</v>
      </c>
    </row>
    <row r="124" spans="1:15" ht="18" customHeight="1">
      <c r="A124" s="187"/>
      <c r="B124" s="37" t="s">
        <v>191</v>
      </c>
      <c r="C124" s="56">
        <v>13.046511650085449</v>
      </c>
      <c r="D124" s="56">
        <v>10.701149293746072</v>
      </c>
      <c r="E124" s="56">
        <v>9.7441864013671875</v>
      </c>
      <c r="F124" s="57">
        <v>11.046242713928223</v>
      </c>
    </row>
    <row r="125" spans="1:15" ht="18" customHeight="1">
      <c r="A125" s="187"/>
      <c r="B125" s="37" t="s">
        <v>192</v>
      </c>
      <c r="C125" s="56">
        <v>105.01047515869141</v>
      </c>
      <c r="D125" s="56">
        <v>91.469660616469113</v>
      </c>
      <c r="E125" s="56">
        <v>85.728538513183594</v>
      </c>
      <c r="F125" s="57">
        <v>93.408309936523438</v>
      </c>
    </row>
    <row r="126" spans="1:15" ht="18" customHeight="1">
      <c r="A126" s="187"/>
      <c r="B126" s="37" t="s">
        <v>193</v>
      </c>
      <c r="C126" s="33">
        <v>45.511272430419922</v>
      </c>
      <c r="D126" s="33">
        <v>23.195508277279206</v>
      </c>
      <c r="E126" s="33">
        <v>10.861950874328613</v>
      </c>
      <c r="F126" s="58">
        <v>25.676633834838867</v>
      </c>
    </row>
    <row r="127" spans="1:15" ht="18" customHeight="1">
      <c r="A127" s="187"/>
      <c r="B127" s="37" t="s">
        <v>200</v>
      </c>
      <c r="C127" s="33">
        <f ca="1">115.4556796875*OFFSET($L$113,MATCH($N$1,$C$113:$C$114,0)-1,0)</f>
        <v>115.45567968749999</v>
      </c>
      <c r="D127" s="33">
        <f ca="1">58.9998644037356*OFFSET($L$113,MATCH($N$1,$C$113:$C$114,0)-1,0)</f>
        <v>58.9998644037356</v>
      </c>
      <c r="E127" s="33">
        <f ca="1">29.048669921875*OFFSET($L$113,MATCH($N$1,$C$113:$C$114,0)-1,0)</f>
        <v>29.048669921875</v>
      </c>
      <c r="F127" s="58">
        <f ca="1">65.58771875*OFFSET($L$113,MATCH($N$1,$C$113:$C$114,0)-1,0)</f>
        <v>65.587718749999993</v>
      </c>
    </row>
    <row r="128" spans="1:15" ht="18" customHeight="1">
      <c r="A128" s="187"/>
      <c r="B128" s="37" t="s">
        <v>195</v>
      </c>
      <c r="C128" s="56">
        <v>61.209300994873047</v>
      </c>
      <c r="D128" s="56">
        <v>74.977012108112206</v>
      </c>
      <c r="E128" s="56">
        <v>74.255813598632813</v>
      </c>
      <c r="F128" s="57">
        <v>71.375724792480469</v>
      </c>
    </row>
    <row r="129" spans="1:15" ht="18" customHeight="1">
      <c r="A129" s="187"/>
      <c r="B129" s="37" t="s">
        <v>201</v>
      </c>
      <c r="C129" s="56">
        <v>20.395349502563477</v>
      </c>
      <c r="D129" s="56">
        <v>26.402298719033428</v>
      </c>
      <c r="E129" s="56">
        <v>32.883720397949219</v>
      </c>
      <c r="F129" s="57">
        <v>26.520231246948242</v>
      </c>
    </row>
    <row r="130" spans="1:15" ht="18" customHeight="1">
      <c r="A130" s="187"/>
      <c r="B130" s="37" t="s">
        <v>202</v>
      </c>
      <c r="C130" s="59">
        <v>0.74353522062301636</v>
      </c>
      <c r="D130" s="59">
        <v>0.30936826668729772</v>
      </c>
      <c r="E130" s="59">
        <v>0.14627744257450104</v>
      </c>
      <c r="F130" s="60">
        <v>0.3597390353679657</v>
      </c>
    </row>
    <row r="131" spans="1:15" ht="18" customHeight="1">
      <c r="A131" s="188"/>
      <c r="B131" s="39" t="s">
        <v>203</v>
      </c>
      <c r="C131" s="40">
        <f ca="1">2536.85896969844*OFFSET($L$113,MATCH($N$1,$C$113:$C$114,0)-1,0)</f>
        <v>2536.85896969844</v>
      </c>
      <c r="D131" s="40">
        <f ca="1">2543.59006487166*OFFSET($L$113,MATCH($N$1,$C$113:$C$114,0)-1,0)</f>
        <v>2543.5900648716602</v>
      </c>
      <c r="E131" s="40">
        <f ca="1">2674.3510680507*OFFSET($L$113,MATCH($N$1,$C$113:$C$114,0)-1,0)</f>
        <v>2674.3510680507002</v>
      </c>
      <c r="F131" s="61">
        <f ca="1">2554*OFFSET($L$113,MATCH($N$1,$C$113:$C$114,0)-1,0)</f>
        <v>2554</v>
      </c>
    </row>
    <row r="132" spans="1:15" ht="18" customHeight="1">
      <c r="A132" s="198" t="s">
        <v>204</v>
      </c>
      <c r="B132" s="35" t="s">
        <v>205</v>
      </c>
      <c r="C132" s="62">
        <v>5.1831593680040315</v>
      </c>
      <c r="D132" s="62">
        <v>2.5696026492438224</v>
      </c>
      <c r="E132" s="62">
        <v>1.3565962504024915</v>
      </c>
      <c r="F132" s="63">
        <v>2.9472330363041723</v>
      </c>
    </row>
    <row r="133" spans="1:15" ht="18" customHeight="1">
      <c r="A133" s="199"/>
      <c r="B133" s="37" t="s">
        <v>206</v>
      </c>
      <c r="C133" s="59">
        <f ca="1">13.1489443340975*OFFSET($L$113,MATCH($N$1,$C$113:$C$114,0)-1,0)</f>
        <v>13.1489443340975</v>
      </c>
      <c r="D133" s="59">
        <f ca="1">6.53601576928447*OFFSET($L$113,MATCH($N$1,$C$113:$C$114,0)-1,0)</f>
        <v>6.5360157692844698</v>
      </c>
      <c r="E133" s="59">
        <f ca="1">3.62801463117748*OFFSET($L$113,MATCH($N$1,$C$113:$C$114,0)-1,0)</f>
        <v>3.6280146311774799</v>
      </c>
      <c r="F133" s="60">
        <f ca="1">7.52833462202308*OFFSET($L$113,MATCH($N$1,$C$113:$C$114,0)-1,0)</f>
        <v>7.5283346220230802</v>
      </c>
    </row>
    <row r="134" spans="1:15" ht="18" customHeight="1">
      <c r="A134" s="199"/>
      <c r="B134" s="37" t="s">
        <v>153</v>
      </c>
      <c r="C134" s="59">
        <f ca="1">10.2106673989269*OFFSET($L$113,MATCH($N$1,$C$113:$C$114,0)-1,0)</f>
        <v>10.210667398926899</v>
      </c>
      <c r="D134" s="59">
        <f ca="1">5.63593102110159*OFFSET($L$113,MATCH($N$1,$C$113:$C$114,0)-1,0)</f>
        <v>5.6359310211015901</v>
      </c>
      <c r="E134" s="59">
        <f ca="1">3.54390383104869*OFFSET($L$113,MATCH($N$1,$C$113:$C$114,0)-1,0)</f>
        <v>3.5439038310486901</v>
      </c>
      <c r="F134" s="60">
        <f ca="1">6.30405855441518*OFFSET($L$113,MATCH($N$1,$C$113:$C$114,0)-1,0)</f>
        <v>6.3040585544151799</v>
      </c>
    </row>
    <row r="135" spans="1:15" ht="18" customHeight="1">
      <c r="A135" s="200"/>
      <c r="B135" s="39" t="s">
        <v>154</v>
      </c>
      <c r="C135" s="64">
        <f ca="1">2.93827693517061*OFFSET($L$113,MATCH($N$1,$C$113:$C$114,0)-1,0)</f>
        <v>2.9382769351706099</v>
      </c>
      <c r="D135" s="64">
        <f ca="1">0.900084748182883*OFFSET($L$113,MATCH($N$1,$C$113:$C$114,0)-1,0)</f>
        <v>0.90008474818288298</v>
      </c>
      <c r="E135" s="64">
        <f ca="1">0.0841108001287973*OFFSET($L$113,MATCH($N$1,$C$113:$C$114,0)-1,0)</f>
        <v>8.4110800128797306E-2</v>
      </c>
      <c r="F135" s="65">
        <f ca="1">1.2242760676079*OFFSET($L$113,MATCH($N$1,$C$113:$C$114,0)-1,0)</f>
        <v>1.2242760676079001</v>
      </c>
    </row>
    <row r="136" spans="1:15" ht="18" customHeight="1">
      <c r="A136" s="201" t="s">
        <v>260</v>
      </c>
      <c r="B136" s="37" t="s">
        <v>261</v>
      </c>
      <c r="C136" s="66">
        <f ca="1">6.13989501953125*OFFSET($L$113,MATCH($N$1,$C$113:$C$114,0)-1,0)</f>
        <v>6.1398950195312496</v>
      </c>
      <c r="D136" s="66">
        <f ca="1">7.2695803362967*OFFSET($L$113,MATCH($N$1,$C$113:$C$114,0)-1,0)</f>
        <v>7.2695803362967002</v>
      </c>
      <c r="E136" s="66">
        <f ca="1">6.9060703125*OFFSET($L$113,MATCH($N$1,$C$113:$C$114,0)-1,0)</f>
        <v>6.9060703124999998</v>
      </c>
      <c r="F136" s="67">
        <f ca="1">6.898439453125*OFFSET($L$113,MATCH($N$1,$C$113:$C$114,0)-1,0)</f>
        <v>6.8984394531250004</v>
      </c>
    </row>
    <row r="137" spans="1:15" ht="18" customHeight="1">
      <c r="A137" s="202"/>
      <c r="B137" s="37" t="s">
        <v>262</v>
      </c>
      <c r="C137" s="31">
        <v>12799.069753198824</v>
      </c>
      <c r="D137" s="31">
        <v>15149.19598279475</v>
      </c>
      <c r="E137" s="31">
        <v>14347.9066785865</v>
      </c>
      <c r="F137" s="68">
        <v>14365.895953757225</v>
      </c>
    </row>
    <row r="138" spans="1:15" ht="18" customHeight="1">
      <c r="A138" s="202"/>
      <c r="B138" s="37" t="s">
        <v>263</v>
      </c>
      <c r="C138" s="31">
        <v>209.10334777832031</v>
      </c>
      <c r="D138" s="31">
        <v>202.05120952206721</v>
      </c>
      <c r="E138" s="31">
        <v>193.22267150878906</v>
      </c>
      <c r="F138" s="68">
        <v>201.27145385742188</v>
      </c>
    </row>
    <row r="139" spans="1:15" ht="18" customHeight="1">
      <c r="A139" s="202"/>
      <c r="B139" s="37" t="s">
        <v>264</v>
      </c>
      <c r="C139" s="31">
        <f ca="1">100.309837226299*OFFSET($L$113,MATCH($N$1,$C$113:$C$114,0)-1,0)</f>
        <v>100.309837226299</v>
      </c>
      <c r="D139" s="31">
        <f ca="1">96.9574557841063*OFFSET($L$113,MATCH($N$1,$C$113:$C$114,0)-1,0)</f>
        <v>96.957455784106301</v>
      </c>
      <c r="E139" s="31">
        <f ca="1">93.003766005833*OFFSET($L$113,MATCH($N$1,$C$113:$C$114,0)-1,0)</f>
        <v>93.003766005833</v>
      </c>
      <c r="F139" s="68">
        <f ca="1">96.6496588746621*OFFSET($L$113,MATCH($N$1,$C$113:$C$114,0)-1,0)</f>
        <v>96.649658874662094</v>
      </c>
      <c r="I139" s="43"/>
      <c r="L139" s="69" t="str">
        <f>C120</f>
        <v>Most
profitable
quartile</v>
      </c>
      <c r="M139" s="69" t="str">
        <f>D120</f>
        <v>Middle
two quartiles</v>
      </c>
      <c r="N139" s="69" t="str">
        <f>E120</f>
        <v>Least
profitable
quartile</v>
      </c>
      <c r="O139" s="69"/>
    </row>
    <row r="140" spans="1:15" ht="18" customHeight="1">
      <c r="A140" s="202"/>
      <c r="B140" s="37" t="s">
        <v>265</v>
      </c>
      <c r="C140" s="31">
        <f ca="1">134.909324473805*OFFSET($L$113,MATCH($N$1,$C$113:$C$114,0)-1,0)</f>
        <v>134.90932447380499</v>
      </c>
      <c r="D140" s="31">
        <f ca="1">313.404657893076*OFFSET($L$113,MATCH($N$1,$C$113:$C$114,0)-1,0)</f>
        <v>313.40465789307598</v>
      </c>
      <c r="E140" s="31">
        <f ca="1">635.803861792633*OFFSET($L$113,MATCH($N$1,$C$113:$C$114,0)-1,0)</f>
        <v>635.80386179263303</v>
      </c>
      <c r="F140" s="68">
        <f ca="1">268.666036891681*OFFSET($L$113,MATCH($N$1,$C$113:$C$114,0)-1,0)</f>
        <v>268.66603689168102</v>
      </c>
      <c r="I140" s="43"/>
      <c r="K140" s="69" t="s">
        <v>266</v>
      </c>
      <c r="L140" s="70">
        <f t="shared" ref="L140:M142" ca="1" si="2">C141</f>
        <v>120.99585156249999</v>
      </c>
      <c r="M140" s="70">
        <f t="shared" ca="1" si="2"/>
        <v>60.903764278017199</v>
      </c>
      <c r="N140" s="70">
        <f ca="1">E141</f>
        <v>29.986056640625002</v>
      </c>
      <c r="O140" s="70"/>
    </row>
    <row r="141" spans="1:15" ht="18" customHeight="1">
      <c r="A141" s="179" t="s">
        <v>267</v>
      </c>
      <c r="B141" s="35" t="s">
        <v>268</v>
      </c>
      <c r="C141" s="71">
        <f ca="1">120.9958515625*OFFSET($L$113,MATCH($N$1,$C$113:$C$114,0)-1,0)</f>
        <v>120.99585156249999</v>
      </c>
      <c r="D141" s="71">
        <f ca="1">60.9037642780172*OFFSET($L$113,MATCH($N$1,$C$113:$C$114,0)-1,0)</f>
        <v>60.903764278017199</v>
      </c>
      <c r="E141" s="71">
        <f ca="1">29.986056640625*OFFSET($L$113,MATCH($N$1,$C$113:$C$114,0)-1,0)</f>
        <v>29.986056640625002</v>
      </c>
      <c r="F141" s="72">
        <f ca="1">68.155203125*OFFSET($L$113,MATCH($N$1,$C$113:$C$114,0)-1,0)</f>
        <v>68.155203125</v>
      </c>
      <c r="I141" s="43"/>
      <c r="K141" s="69" t="s">
        <v>269</v>
      </c>
      <c r="L141" s="70">
        <f t="shared" ca="1" si="2"/>
        <v>95.195999999999998</v>
      </c>
      <c r="M141" s="70">
        <f t="shared" ca="1" si="2"/>
        <v>52.778802532327603</v>
      </c>
      <c r="N141" s="70">
        <f ca="1">E142</f>
        <v>29.312601562499999</v>
      </c>
      <c r="O141" s="70"/>
    </row>
    <row r="142" spans="1:15" ht="18" customHeight="1">
      <c r="A142" s="180"/>
      <c r="B142" s="37" t="s">
        <v>270</v>
      </c>
      <c r="C142" s="31">
        <f ca="1">95.196*OFFSET($L$113,MATCH($N$1,$C$113:$C$114,0)-1,0)</f>
        <v>95.195999999999998</v>
      </c>
      <c r="D142" s="31">
        <f ca="1">52.7788025323276*OFFSET($L$113,MATCH($N$1,$C$113:$C$114,0)-1,0)</f>
        <v>52.778802532327603</v>
      </c>
      <c r="E142" s="31">
        <f ca="1">29.3126015625*OFFSET($L$113,MATCH($N$1,$C$113:$C$114,0)-1,0)</f>
        <v>29.312601562499999</v>
      </c>
      <c r="F142" s="68">
        <f ca="1">57.4891640625*OFFSET($L$113,MATCH($N$1,$C$113:$C$114,0)-1,0)</f>
        <v>57.489164062500002</v>
      </c>
      <c r="I142" s="43"/>
      <c r="K142" s="69" t="s">
        <v>271</v>
      </c>
      <c r="L142" s="70">
        <f t="shared" ca="1" si="2"/>
        <v>25.799851562499999</v>
      </c>
      <c r="M142" s="70">
        <f t="shared" ca="1" si="2"/>
        <v>8.1249617456896495</v>
      </c>
      <c r="N142" s="70">
        <f ca="1">E143</f>
        <v>0.67345507812500005</v>
      </c>
      <c r="O142" s="70"/>
    </row>
    <row r="143" spans="1:15" ht="18" customHeight="1">
      <c r="A143" s="181"/>
      <c r="B143" s="39" t="s">
        <v>272</v>
      </c>
      <c r="C143" s="40">
        <f ca="1">25.7998515625*OFFSET($L$113,MATCH($N$1,$C$113:$C$114,0)-1,0)</f>
        <v>25.799851562499999</v>
      </c>
      <c r="D143" s="40">
        <f ca="1">8.12496174568965*OFFSET($L$113,MATCH($N$1,$C$113:$C$114,0)-1,0)</f>
        <v>8.1249617456896495</v>
      </c>
      <c r="E143" s="40">
        <f ca="1">0.673455078125*OFFSET($L$113,MATCH($N$1,$C$113:$C$114,0)-1,0)</f>
        <v>0.67345507812500005</v>
      </c>
      <c r="F143" s="61">
        <f ca="1">10.6660341796875*OFFSET($L$113,MATCH($N$1,$C$113:$C$114,0)-1,0)</f>
        <v>10.6660341796875</v>
      </c>
      <c r="I143" s="43"/>
      <c r="K143" s="69" t="s">
        <v>273</v>
      </c>
      <c r="L143" s="73">
        <f ca="1">IFERROR(L141/L$140,"")</f>
        <v>0.78677077578008392</v>
      </c>
      <c r="M143" s="73">
        <f t="shared" ref="M143:N144" ca="1" si="3">IFERROR(M141/M$140,"")</f>
        <v>0.86659343897693619</v>
      </c>
      <c r="N143" s="73">
        <f t="shared" ca="1" si="3"/>
        <v>0.97754105895962962</v>
      </c>
      <c r="O143" s="73"/>
    </row>
    <row r="144" spans="1:15" ht="18" customHeight="1">
      <c r="I144" s="43"/>
      <c r="K144" s="69" t="s">
        <v>274</v>
      </c>
      <c r="L144" s="73">
        <f ca="1">IFERROR(L142/L$140,"")</f>
        <v>0.21322922421991611</v>
      </c>
      <c r="M144" s="73">
        <f t="shared" ca="1" si="3"/>
        <v>0.1334065610230647</v>
      </c>
      <c r="N144" s="73">
        <f t="shared" ca="1" si="3"/>
        <v>2.2458941040370262E-2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11</v>
      </c>
      <c r="B162" s="48"/>
      <c r="C162" s="74" t="s">
        <v>255</v>
      </c>
      <c r="D162" s="74" t="s">
        <v>276</v>
      </c>
      <c r="E162" s="74" t="s">
        <v>257</v>
      </c>
      <c r="F162" s="74" t="s">
        <v>277</v>
      </c>
      <c r="G162" s="75">
        <v>10</v>
      </c>
      <c r="H162" s="74"/>
      <c r="I162" s="74" t="s">
        <v>255</v>
      </c>
      <c r="J162" s="74" t="s">
        <v>276</v>
      </c>
      <c r="K162" s="74" t="s">
        <v>257</v>
      </c>
      <c r="L162" s="48" t="s">
        <v>277</v>
      </c>
      <c r="R162" s="21"/>
      <c r="S162" s="21"/>
    </row>
    <row r="163" spans="1:19" s="43" customFormat="1">
      <c r="A163" s="44">
        <v>1</v>
      </c>
      <c r="B163" s="48" t="s">
        <v>159</v>
      </c>
      <c r="C163" s="48">
        <v>0.19740030623232752</v>
      </c>
      <c r="D163" s="48">
        <v>0.67520424685965719</v>
      </c>
      <c r="E163" s="48">
        <v>0.5502512618631471</v>
      </c>
      <c r="F163" s="44">
        <v>12153634</v>
      </c>
      <c r="G163" s="44">
        <v>1</v>
      </c>
      <c r="H163" s="48" t="s">
        <v>159</v>
      </c>
      <c r="I163" s="48">
        <v>0.20621254407287851</v>
      </c>
      <c r="J163" s="48">
        <v>0.6355171472384924</v>
      </c>
      <c r="K163" s="48">
        <v>0.6049878185830182</v>
      </c>
      <c r="L163" s="44">
        <v>12153634</v>
      </c>
      <c r="R163" s="21"/>
      <c r="S163" s="21"/>
    </row>
    <row r="164" spans="1:19" s="43" customFormat="1">
      <c r="A164" s="44">
        <v>2</v>
      </c>
      <c r="B164" s="48" t="s">
        <v>176</v>
      </c>
      <c r="C164" s="48">
        <v>0.20374629661545723</v>
      </c>
      <c r="D164" s="48">
        <v>8.3720114190721978E-2</v>
      </c>
      <c r="E164" s="48">
        <v>4.1000812656201507E-2</v>
      </c>
      <c r="F164" s="44">
        <v>3050596</v>
      </c>
      <c r="G164" s="44">
        <v>2</v>
      </c>
      <c r="H164" s="48" t="s">
        <v>175</v>
      </c>
      <c r="I164" s="48">
        <v>0.28395938791340763</v>
      </c>
      <c r="J164" s="48">
        <v>0.10869593249708191</v>
      </c>
      <c r="K164" s="48">
        <v>7.3277827591566758E-2</v>
      </c>
      <c r="L164" s="44">
        <v>553960</v>
      </c>
      <c r="N164" s="43" t="s">
        <v>278</v>
      </c>
      <c r="R164" s="21"/>
      <c r="S164" s="21"/>
    </row>
    <row r="165" spans="1:19" s="43" customFormat="1">
      <c r="A165" s="44">
        <v>3</v>
      </c>
      <c r="B165" s="48" t="s">
        <v>250</v>
      </c>
      <c r="C165" s="48">
        <v>0</v>
      </c>
      <c r="D165" s="48">
        <v>4.6545134669917082E-2</v>
      </c>
      <c r="E165" s="48">
        <v>0</v>
      </c>
      <c r="F165" s="44">
        <v>2480382</v>
      </c>
      <c r="G165" s="44">
        <v>3</v>
      </c>
      <c r="H165" s="48" t="s">
        <v>176</v>
      </c>
      <c r="I165" s="48">
        <v>5.1393344877597183E-2</v>
      </c>
      <c r="J165" s="48">
        <v>7.0295590916988213E-2</v>
      </c>
      <c r="K165" s="48">
        <v>0</v>
      </c>
      <c r="L165" s="44">
        <v>3050596</v>
      </c>
      <c r="N165" s="43" t="s">
        <v>279</v>
      </c>
      <c r="R165" s="21"/>
      <c r="S165" s="21"/>
    </row>
    <row r="166" spans="1:19" s="43" customFormat="1">
      <c r="A166" s="44">
        <v>4</v>
      </c>
      <c r="B166" s="48" t="s">
        <v>337</v>
      </c>
      <c r="C166" s="48">
        <v>0</v>
      </c>
      <c r="D166" s="48">
        <v>3.5293936618619078E-2</v>
      </c>
      <c r="E166" s="48">
        <v>0</v>
      </c>
      <c r="F166" s="44">
        <v>7434864</v>
      </c>
      <c r="G166" s="44">
        <v>4</v>
      </c>
      <c r="H166" s="48" t="s">
        <v>162</v>
      </c>
      <c r="I166" s="48">
        <v>0</v>
      </c>
      <c r="J166" s="48">
        <v>2.7360637769089629E-2</v>
      </c>
      <c r="K166" s="48">
        <v>0</v>
      </c>
      <c r="L166" s="44">
        <v>8497745</v>
      </c>
      <c r="R166" s="21"/>
      <c r="S166" s="21"/>
    </row>
    <row r="167" spans="1:19" s="43" customFormat="1">
      <c r="A167" s="44">
        <v>5</v>
      </c>
      <c r="B167" s="48" t="s">
        <v>169</v>
      </c>
      <c r="C167" s="48">
        <v>5.937307392347585E-2</v>
      </c>
      <c r="D167" s="48">
        <v>3.4895631120300273E-2</v>
      </c>
      <c r="E167" s="48">
        <v>4.8968032800274425E-2</v>
      </c>
      <c r="F167" s="44">
        <v>3689192</v>
      </c>
      <c r="G167" s="44">
        <v>5</v>
      </c>
      <c r="H167" s="48" t="s">
        <v>161</v>
      </c>
      <c r="I167" s="48">
        <v>0</v>
      </c>
      <c r="J167" s="48">
        <v>2.7164123635300078E-2</v>
      </c>
      <c r="K167" s="48">
        <v>0</v>
      </c>
      <c r="L167" s="44">
        <v>14393110</v>
      </c>
      <c r="R167" s="21"/>
      <c r="S167" s="21"/>
    </row>
    <row r="168" spans="1:19" s="43" customFormat="1">
      <c r="A168" s="44">
        <v>6</v>
      </c>
      <c r="B168" s="48" t="s">
        <v>181</v>
      </c>
      <c r="C168" s="48">
        <v>0</v>
      </c>
      <c r="D168" s="48">
        <v>0</v>
      </c>
      <c r="E168" s="48">
        <v>7.5242808605171602E-2</v>
      </c>
      <c r="F168" s="44">
        <v>1692097</v>
      </c>
      <c r="G168" s="44">
        <v>6</v>
      </c>
      <c r="H168" s="48" t="s">
        <v>181</v>
      </c>
      <c r="I168" s="48">
        <v>4.7978801491828503E-2</v>
      </c>
      <c r="J168" s="48">
        <v>0</v>
      </c>
      <c r="K168" s="48">
        <v>8.3208494316705905E-2</v>
      </c>
      <c r="L168" s="44">
        <v>1692097</v>
      </c>
      <c r="R168" s="21"/>
      <c r="S168" s="21"/>
    </row>
    <row r="169" spans="1:19" s="43" customFormat="1">
      <c r="A169" s="44">
        <v>7</v>
      </c>
      <c r="B169" s="48" t="s">
        <v>293</v>
      </c>
      <c r="C169" s="48">
        <v>0</v>
      </c>
      <c r="D169" s="48">
        <v>0</v>
      </c>
      <c r="E169" s="48">
        <v>3.8188777177020204E-2</v>
      </c>
      <c r="F169" s="44">
        <v>2887140</v>
      </c>
      <c r="G169" s="44">
        <v>7</v>
      </c>
      <c r="H169" s="48" t="s">
        <v>169</v>
      </c>
      <c r="I169" s="48">
        <v>5.5957050237022202E-2</v>
      </c>
      <c r="J169" s="48">
        <v>0</v>
      </c>
      <c r="K169" s="48">
        <v>3.8369123541632091E-2</v>
      </c>
      <c r="L169" s="44">
        <v>3689192</v>
      </c>
      <c r="R169" s="21"/>
      <c r="S169" s="21"/>
    </row>
    <row r="170" spans="1:19" s="43" customFormat="1">
      <c r="A170" s="44">
        <v>8</v>
      </c>
      <c r="B170" s="48" t="s">
        <v>448</v>
      </c>
      <c r="C170" s="48">
        <v>9.1798362660689484E-2</v>
      </c>
      <c r="D170" s="48">
        <v>0</v>
      </c>
      <c r="E170" s="48">
        <v>0</v>
      </c>
      <c r="F170" s="44">
        <v>11115023</v>
      </c>
      <c r="G170" s="44">
        <v>8</v>
      </c>
      <c r="H170" s="48" t="s">
        <v>166</v>
      </c>
      <c r="I170" s="48">
        <v>0</v>
      </c>
      <c r="J170" s="48">
        <v>0</v>
      </c>
      <c r="K170" s="48">
        <v>2.8016706934857655E-2</v>
      </c>
      <c r="L170" s="44">
        <v>15057844</v>
      </c>
      <c r="R170" s="21"/>
      <c r="S170" s="21"/>
    </row>
    <row r="171" spans="1:19" s="43" customFormat="1">
      <c r="A171" s="44">
        <v>9</v>
      </c>
      <c r="B171" s="48" t="s">
        <v>175</v>
      </c>
      <c r="C171" s="48">
        <v>6.1704517335398251E-2</v>
      </c>
      <c r="D171" s="48">
        <v>0</v>
      </c>
      <c r="E171" s="48">
        <v>0</v>
      </c>
      <c r="F171" s="44">
        <v>553960</v>
      </c>
      <c r="G171" s="44">
        <v>9</v>
      </c>
      <c r="H171" s="48" t="s">
        <v>251</v>
      </c>
      <c r="I171" s="48">
        <v>0.35449887140726588</v>
      </c>
      <c r="J171" s="48">
        <v>0.13096656794304784</v>
      </c>
      <c r="K171" s="48">
        <v>0.17214002903221926</v>
      </c>
      <c r="L171" s="44">
        <v>5920853</v>
      </c>
      <c r="R171" s="21"/>
      <c r="S171" s="21"/>
    </row>
    <row r="172" spans="1:19" s="43" customFormat="1">
      <c r="A172" s="44">
        <v>10</v>
      </c>
      <c r="B172" s="48" t="s">
        <v>251</v>
      </c>
      <c r="C172" s="48">
        <v>0.38597744323265171</v>
      </c>
      <c r="D172" s="48">
        <v>0.12434093654078437</v>
      </c>
      <c r="E172" s="48">
        <v>0.24634830689818521</v>
      </c>
      <c r="F172" s="44">
        <v>5920853</v>
      </c>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37F7D366-F8E9-4522-A214-368B0C431D7E}">
      <formula1>$C$113:$C$114</formula1>
    </dataValidation>
  </dataValidations>
  <hyperlinks>
    <hyperlink ref="O1:P1" location="Home_page" display="Back to home page" xr:uid="{9298B5C2-F4C2-40A2-A5BA-BB316D8350A6}"/>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488EDBA2-ACC8-4301-937E-030C504A4F95}">
          <x14:colorSeries rgb="FF323232"/>
          <x14:colorNegative rgb="FFD00000"/>
          <x14:colorAxis rgb="FF000000"/>
          <x14:colorMarkers rgb="FFD00000"/>
          <x14:colorFirst rgb="FFD00000"/>
          <x14:colorLast rgb="FFD00000"/>
          <x14:colorHigh rgb="FFD00000"/>
          <x14:colorLow rgb="FFD00000"/>
          <x14:sparklines>
            <x14:sparkline>
              <xm:f>'U10m demersal trawl-seine'!D3:N3</xm:f>
              <xm:sqref>C3</xm:sqref>
            </x14:sparkline>
            <x14:sparkline>
              <xm:f>'U10m demersal trawl-seine'!D4:N4</xm:f>
              <xm:sqref>C4</xm:sqref>
            </x14:sparkline>
            <x14:sparkline>
              <xm:f>'U10m demersal trawl-seine'!D5:N5</xm:f>
              <xm:sqref>C5</xm:sqref>
            </x14:sparkline>
            <x14:sparkline>
              <xm:f>'U10m demersal trawl-seine'!D6:N6</xm:f>
              <xm:sqref>C6</xm:sqref>
            </x14:sparkline>
            <x14:sparkline>
              <xm:f>'U10m demersal trawl-seine'!D7:N7</xm:f>
              <xm:sqref>C7</xm:sqref>
            </x14:sparkline>
            <x14:sparkline>
              <xm:f>'U10m demersal trawl-seine'!D8:N8</xm:f>
              <xm:sqref>C8</xm:sqref>
            </x14:sparkline>
            <x14:sparkline>
              <xm:f>'U10m demersal trawl-seine'!D9:N9</xm:f>
              <xm:sqref>C9</xm:sqref>
            </x14:sparkline>
            <x14:sparkline>
              <xm:f>'U10m demersal trawl-seine'!D10:N10</xm:f>
              <xm:sqref>C10</xm:sqref>
            </x14:sparkline>
            <x14:sparkline>
              <xm:f>'U10m demersal trawl-seine'!D11:N11</xm:f>
              <xm:sqref>C11</xm:sqref>
            </x14:sparkline>
            <x14:sparkline>
              <xm:f>'U10m demersal trawl-seine'!D12:N12</xm:f>
              <xm:sqref>C12</xm:sqref>
            </x14:sparkline>
            <x14:sparkline>
              <xm:f>'U10m demersal trawl-seine'!D13:N13</xm:f>
              <xm:sqref>C13</xm:sqref>
            </x14:sparkline>
            <x14:sparkline>
              <xm:f>'U10m demersal trawl-seine'!D14:N14</xm:f>
              <xm:sqref>C14</xm:sqref>
            </x14:sparkline>
            <x14:sparkline>
              <xm:f>'U10m demersal trawl-seine'!D15:N15</xm:f>
              <xm:sqref>C15</xm:sqref>
            </x14:sparkline>
            <x14:sparkline>
              <xm:f>'U10m demersal trawl-seine'!D16:N16</xm:f>
              <xm:sqref>C16</xm:sqref>
            </x14:sparkline>
            <x14:sparkline>
              <xm:f>'U10m demersal trawl-seine'!D17:N17</xm:f>
              <xm:sqref>C17</xm:sqref>
            </x14:sparkline>
            <x14:sparkline>
              <xm:f>'U10m demersal trawl-seine'!D18:N18</xm:f>
              <xm:sqref>C18</xm:sqref>
            </x14:sparkline>
            <x14:sparkline>
              <xm:f>'U10m demersal trawl-seine'!D19:N19</xm:f>
              <xm:sqref>C19</xm:sqref>
            </x14:sparkline>
            <x14:sparkline>
              <xm:f>'U10m demersal trawl-seine'!D20:N20</xm:f>
              <xm:sqref>C20</xm:sqref>
            </x14:sparkline>
            <x14:sparkline>
              <xm:f>'U10m demersal trawl-seine'!D21:N21</xm:f>
              <xm:sqref>C21</xm:sqref>
            </x14:sparkline>
            <x14:sparkline>
              <xm:f>'U10m demersal trawl-seine'!D22:N22</xm:f>
              <xm:sqref>C22</xm:sqref>
            </x14:sparkline>
            <x14:sparkline>
              <xm:f>'U10m demersal trawl-seine'!D23:N23</xm:f>
              <xm:sqref>C23</xm:sqref>
            </x14:sparkline>
            <x14:sparkline>
              <xm:f>'U10m demersal trawl-seine'!D24:N24</xm:f>
              <xm:sqref>C24</xm:sqref>
            </x14:sparkline>
            <x14:sparkline>
              <xm:f>'U10m demersal trawl-seine'!D25:N25</xm:f>
              <xm:sqref>C25</xm:sqref>
            </x14:sparkline>
            <x14:sparkline>
              <xm:f>'U10m demersal trawl-seine'!D26:N26</xm:f>
              <xm:sqref>C26</xm:sqref>
            </x14:sparkline>
            <x14:sparkline>
              <xm:f>'U10m demersal trawl-seine'!D27:N27</xm:f>
              <xm:sqref>C27</xm:sqref>
            </x14:sparkline>
            <x14:sparkline>
              <xm:f>'U10m demersal trawl-seine'!D28:N28</xm:f>
              <xm:sqref>C28</xm:sqref>
            </x14:sparkline>
            <x14:sparkline>
              <xm:f>'U10m demersal trawl-seine'!D29:N29</xm:f>
              <xm:sqref>C29</xm:sqref>
            </x14:sparkline>
            <x14:sparkline>
              <xm:f>'U10m demersal trawl-seine'!D30:N30</xm:f>
              <xm:sqref>C30</xm:sqref>
            </x14:sparkline>
            <x14:sparkline>
              <xm:f>'U10m demersal trawl-seine'!D31:N31</xm:f>
              <xm:sqref>C31</xm:sqref>
            </x14:sparkline>
            <x14:sparkline>
              <xm:f>'U10m demersal trawl-seine'!D32:N32</xm:f>
              <xm:sqref>C32</xm:sqref>
            </x14:sparkline>
            <x14:sparkline>
              <xm:f>'U10m demersal trawl-seine'!D33:N33</xm:f>
              <xm:sqref>C33</xm:sqref>
            </x14:sparkline>
            <x14:sparkline>
              <xm:f>'U10m demersal trawl-seine'!D34:N34</xm:f>
              <xm:sqref>C34</xm:sqref>
            </x14:sparkline>
            <x14:sparkline>
              <xm:f>'U10m demersal trawl-seine'!D35:N35</xm:f>
              <xm:sqref>C35</xm:sqref>
            </x14:sparkline>
            <x14:sparkline>
              <xm:f>'U10m demersal trawl-seine'!D36:N36</xm:f>
              <xm:sqref>C36</xm:sqref>
            </x14:sparkline>
            <x14:sparkline>
              <xm:f>'U10m demersal trawl-seine'!D37:N37</xm:f>
              <xm:sqref>C37</xm:sqref>
            </x14:sparkline>
            <x14:sparkline>
              <xm:f>'U10m demersal trawl-seine'!D38:N38</xm:f>
              <xm:sqref>C38</xm:sqref>
            </x14:sparkline>
            <x14:sparkline>
              <xm:f>'U10m demersal trawl-seine'!D39:N39</xm:f>
              <xm:sqref>C39</xm:sqref>
            </x14:sparkline>
            <x14:sparkline>
              <xm:f>'U10m demersal trawl-seine'!D40:N40</xm:f>
              <xm:sqref>C40</xm:sqref>
            </x14:sparkline>
            <x14:sparkline>
              <xm:f>'U10m demersal trawl-seine'!D41:N41</xm:f>
              <xm:sqref>C41</xm:sqref>
            </x14:sparkline>
            <x14:sparkline>
              <xm:f>'U10m demersal trawl-seine'!D42:N42</xm:f>
              <xm:sqref>C42</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98CDE-C31A-47CB-8845-D7486CFFB1DD}">
  <sheetPr codeName="Feuil34">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35</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259</v>
      </c>
      <c r="E3" s="28">
        <v>251</v>
      </c>
      <c r="F3" s="28">
        <v>252</v>
      </c>
      <c r="G3" s="28">
        <v>224</v>
      </c>
      <c r="H3" s="28">
        <v>223</v>
      </c>
      <c r="I3" s="28">
        <v>183</v>
      </c>
      <c r="J3" s="28">
        <v>212</v>
      </c>
      <c r="K3" s="28">
        <v>203</v>
      </c>
      <c r="L3" s="28">
        <v>177</v>
      </c>
      <c r="M3" s="28">
        <v>197</v>
      </c>
      <c r="N3" s="28">
        <v>201</v>
      </c>
      <c r="O3" s="29">
        <f t="shared" ref="O3:O42" si="0">IF(N3=0,"",IFERROR(IF(AND(N3&gt;0,D3&lt;0),"na",IF(AND(N3&lt;0,D3&lt;0),-1,1)*(N3-D3)/D3),""))</f>
        <v>-0.22393822393822393</v>
      </c>
      <c r="P3" s="29">
        <f t="shared" ref="P3:P42" si="1">IF(N3=0,"",IFERROR(IF(AND(N3&gt;0,J3&lt;0),"na",IF(AND(N3&lt;0,J3&lt;0),-1,1)*(N3-J3)/J3),""))</f>
        <v>-5.1886792452830191E-2</v>
      </c>
    </row>
    <row r="4" spans="1:17" ht="18" customHeight="1">
      <c r="A4" s="185"/>
      <c r="B4" s="30" t="s">
        <v>190</v>
      </c>
      <c r="C4" s="31"/>
      <c r="D4" s="31">
        <v>21656</v>
      </c>
      <c r="E4" s="31">
        <v>20543</v>
      </c>
      <c r="F4" s="31">
        <v>20817</v>
      </c>
      <c r="G4" s="31">
        <v>18282</v>
      </c>
      <c r="H4" s="31">
        <v>18359</v>
      </c>
      <c r="I4" s="31">
        <v>14849</v>
      </c>
      <c r="J4" s="31">
        <v>15990</v>
      </c>
      <c r="K4" s="31">
        <v>14977</v>
      </c>
      <c r="L4" s="31">
        <v>14044</v>
      </c>
      <c r="M4" s="31">
        <v>14644</v>
      </c>
      <c r="N4" s="31">
        <v>14850</v>
      </c>
      <c r="O4" s="29">
        <f t="shared" si="0"/>
        <v>-0.3142777983007019</v>
      </c>
      <c r="P4" s="29">
        <f t="shared" si="1"/>
        <v>-7.1294559099437146E-2</v>
      </c>
    </row>
    <row r="5" spans="1:17" ht="18" customHeight="1">
      <c r="A5" s="185"/>
      <c r="B5" s="30" t="s">
        <v>191</v>
      </c>
      <c r="C5" s="31"/>
      <c r="D5" s="31">
        <v>1265.9100341796875</v>
      </c>
      <c r="E5" s="31">
        <v>1263.449951171875</v>
      </c>
      <c r="F5" s="31">
        <v>1268.489990234375</v>
      </c>
      <c r="G5" s="31">
        <v>2774.469970703125</v>
      </c>
      <c r="H5" s="31">
        <v>1089.469970703125</v>
      </c>
      <c r="I5" s="31">
        <v>927</v>
      </c>
      <c r="J5" s="31">
        <v>1037.469970703125</v>
      </c>
      <c r="K5" s="31">
        <v>960.469970703125</v>
      </c>
      <c r="L5" s="31">
        <v>862.469970703125</v>
      </c>
      <c r="M5" s="31">
        <v>924.84002685546875</v>
      </c>
      <c r="N5" s="31">
        <v>962.4835205078125</v>
      </c>
      <c r="O5" s="29">
        <f t="shared" si="0"/>
        <v>-0.23969042465841267</v>
      </c>
      <c r="P5" s="29">
        <f t="shared" si="1"/>
        <v>-7.2278188586501355E-2</v>
      </c>
      <c r="Q5" s="32"/>
    </row>
    <row r="6" spans="1:17" ht="18" customHeight="1">
      <c r="A6" s="185"/>
      <c r="B6" s="30" t="s">
        <v>192</v>
      </c>
      <c r="C6" s="31"/>
      <c r="D6" s="31">
        <v>16412.98828125</v>
      </c>
      <c r="E6" s="31">
        <v>15711.87890625</v>
      </c>
      <c r="F6" s="31">
        <v>15992.083984375</v>
      </c>
      <c r="G6" s="31">
        <v>14298.708984375</v>
      </c>
      <c r="H6" s="31">
        <v>14268.9365234375</v>
      </c>
      <c r="I6" s="31">
        <v>11763.6689453125</v>
      </c>
      <c r="J6" s="31">
        <v>12864.1982421875</v>
      </c>
      <c r="K6" s="31">
        <v>12060.96484375</v>
      </c>
      <c r="L6" s="31">
        <v>10945.912109375</v>
      </c>
      <c r="M6" s="31">
        <v>11565.609375</v>
      </c>
      <c r="N6" s="31">
        <v>11871.9501953125</v>
      </c>
      <c r="O6" s="29">
        <f t="shared" si="0"/>
        <v>-0.27667344959510676</v>
      </c>
      <c r="P6" s="29">
        <f t="shared" si="1"/>
        <v>-7.7132521451742847E-2</v>
      </c>
    </row>
    <row r="7" spans="1:17" ht="18" customHeight="1">
      <c r="A7" s="185"/>
      <c r="B7" s="30" t="s">
        <v>193</v>
      </c>
      <c r="C7" s="31"/>
      <c r="D7" s="31">
        <v>4756.46533203125</v>
      </c>
      <c r="E7" s="31">
        <v>4676.35693359375</v>
      </c>
      <c r="F7" s="31">
        <v>4682.63720703125</v>
      </c>
      <c r="G7" s="31">
        <v>3621.487548828125</v>
      </c>
      <c r="H7" s="31">
        <v>4057.200927734375</v>
      </c>
      <c r="I7" s="31">
        <v>2984.090576171875</v>
      </c>
      <c r="J7" s="31">
        <v>3435.536376953125</v>
      </c>
      <c r="K7" s="31">
        <v>2763.284423828125</v>
      </c>
      <c r="L7" s="31">
        <v>3274.14111328125</v>
      </c>
      <c r="M7" s="31">
        <v>2408.130615234375</v>
      </c>
      <c r="N7" s="31">
        <v>1971.3834228515625</v>
      </c>
      <c r="O7" s="29">
        <f t="shared" si="0"/>
        <v>-0.58553604720384189</v>
      </c>
      <c r="P7" s="29">
        <f t="shared" si="1"/>
        <v>-0.42617885344589951</v>
      </c>
    </row>
    <row r="8" spans="1:17" ht="18" customHeight="1">
      <c r="A8" s="185"/>
      <c r="B8" s="30" t="s">
        <v>194</v>
      </c>
      <c r="C8" s="33"/>
      <c r="D8" s="33">
        <f ca="1">13.11068*OFFSET(D$113,MATCH($N$1,$C$113:$C$114,0)-1,0)</f>
        <v>13.11068</v>
      </c>
      <c r="E8" s="33">
        <f ca="1">12.659937*OFFSET(E$113,MATCH($N$1,$C$113:$C$114,0)-1,0)</f>
        <v>12.659936999999999</v>
      </c>
      <c r="F8" s="33">
        <f ca="1">13.815029*OFFSET(F$113,MATCH($N$1,$C$113:$C$114,0)-1,0)</f>
        <v>13.815028999999999</v>
      </c>
      <c r="G8" s="33">
        <f ca="1">10.387986*OFFSET(G$113,MATCH($N$1,$C$113:$C$114,0)-1,0)</f>
        <v>10.387986</v>
      </c>
      <c r="H8" s="33">
        <f ca="1">11.236636*OFFSET(H$113,MATCH($N$1,$C$113:$C$114,0)-1,0)</f>
        <v>11.236636000000001</v>
      </c>
      <c r="I8" s="33">
        <f ca="1">9.375287*OFFSET(I$113,MATCH($N$1,$C$113:$C$114,0)-1,0)</f>
        <v>9.3752870000000001</v>
      </c>
      <c r="J8" s="33">
        <f ca="1">11.144462*OFFSET(J$113,MATCH($N$1,$C$113:$C$114,0)-1,0)</f>
        <v>11.144462000000001</v>
      </c>
      <c r="K8" s="33">
        <f ca="1">9.121764*OFFSET(K$113,MATCH($N$1,$C$113:$C$114,0)-1,0)</f>
        <v>9.1217640000000006</v>
      </c>
      <c r="L8" s="33">
        <f ca="1">7.6395885*OFFSET(L$113,MATCH($N$1,$C$113:$C$114,0)-1,0)</f>
        <v>7.6395885000000003</v>
      </c>
      <c r="M8" s="33">
        <f ca="1">8.110336*OFFSET(M$113,MATCH($N$1,$C$113:$C$114,0)-1,0)</f>
        <v>8.1103360000000002</v>
      </c>
      <c r="N8" s="33">
        <v>8.4235209999999991</v>
      </c>
      <c r="O8" s="29">
        <f t="shared" ca="1" si="0"/>
        <v>-0.35750693327882316</v>
      </c>
      <c r="P8" s="29">
        <f t="shared" ca="1" si="1"/>
        <v>-0.2441518486939972</v>
      </c>
    </row>
    <row r="9" spans="1:17" ht="18" customHeight="1">
      <c r="A9" s="185"/>
      <c r="B9" s="30" t="s">
        <v>195</v>
      </c>
      <c r="C9" s="31"/>
      <c r="D9" s="31">
        <v>21949</v>
      </c>
      <c r="E9" s="31">
        <v>21404</v>
      </c>
      <c r="F9" s="31">
        <v>22392</v>
      </c>
      <c r="G9" s="31">
        <v>18087</v>
      </c>
      <c r="H9" s="31">
        <v>18609</v>
      </c>
      <c r="I9" s="31">
        <v>15414</v>
      </c>
      <c r="J9" s="31">
        <v>16570</v>
      </c>
      <c r="K9" s="31">
        <v>14145</v>
      </c>
      <c r="L9" s="31">
        <v>11258</v>
      </c>
      <c r="M9" s="31">
        <v>12193</v>
      </c>
      <c r="N9" s="31">
        <v>11123</v>
      </c>
      <c r="O9" s="29">
        <f t="shared" si="0"/>
        <v>-0.49323431591416467</v>
      </c>
      <c r="P9" s="29">
        <f t="shared" si="1"/>
        <v>-0.32872661436330719</v>
      </c>
    </row>
    <row r="10" spans="1:17" ht="18" customHeight="1">
      <c r="A10" s="185"/>
      <c r="B10" s="30" t="s">
        <v>196</v>
      </c>
      <c r="C10" s="31"/>
      <c r="D10" s="31">
        <v>2319.9</v>
      </c>
      <c r="E10" s="31">
        <v>2133.02</v>
      </c>
      <c r="F10" s="31">
        <v>2254.25</v>
      </c>
      <c r="G10" s="31">
        <v>1928.1000000000001</v>
      </c>
      <c r="H10" s="31">
        <v>1979.55</v>
      </c>
      <c r="I10" s="31">
        <v>1609.83</v>
      </c>
      <c r="J10" s="31">
        <v>1670.8400000000001</v>
      </c>
      <c r="K10" s="31">
        <v>1363.24</v>
      </c>
      <c r="L10" s="31">
        <v>1110.72</v>
      </c>
      <c r="M10" s="31">
        <v>1196.8600000000001</v>
      </c>
      <c r="N10" s="31">
        <v>1092.98</v>
      </c>
      <c r="O10" s="29">
        <f t="shared" si="0"/>
        <v>-0.52886762360446571</v>
      </c>
      <c r="P10" s="29">
        <f t="shared" si="1"/>
        <v>-0.34584999162098112</v>
      </c>
    </row>
    <row r="11" spans="1:17" ht="18" customHeight="1">
      <c r="A11" s="185"/>
      <c r="B11" s="30" t="s">
        <v>197</v>
      </c>
      <c r="C11" s="31"/>
      <c r="D11" s="31">
        <v>184.84603881835938</v>
      </c>
      <c r="E11" s="31">
        <v>185.36604309082031</v>
      </c>
      <c r="F11" s="31">
        <v>174.656005859375</v>
      </c>
      <c r="G11" s="31">
        <v>144.54768371582031</v>
      </c>
      <c r="H11" s="31">
        <v>162.21353149414063</v>
      </c>
      <c r="I11" s="31">
        <v>136.60897827148438</v>
      </c>
      <c r="J11" s="31">
        <v>112.90777587890625</v>
      </c>
      <c r="K11" s="31">
        <v>110.90810394287109</v>
      </c>
      <c r="L11" s="31">
        <v>50.103694915771484</v>
      </c>
      <c r="M11" s="31">
        <v>81.474967956542969</v>
      </c>
      <c r="N11" s="31">
        <v>74.440048217773438</v>
      </c>
      <c r="O11" s="34">
        <f t="shared" si="0"/>
        <v>-0.59728621346913136</v>
      </c>
      <c r="P11" s="34">
        <f t="shared" si="1"/>
        <v>-0.34070042883839557</v>
      </c>
    </row>
    <row r="12" spans="1:17" ht="18" customHeight="1">
      <c r="A12" s="186" t="s">
        <v>198</v>
      </c>
      <c r="B12" s="35" t="s">
        <v>199</v>
      </c>
      <c r="C12" s="36"/>
      <c r="D12" s="36">
        <v>7.9910812377929688</v>
      </c>
      <c r="E12" s="36">
        <v>8.0271310806274414</v>
      </c>
      <c r="F12" s="36">
        <v>8.0582542419433594</v>
      </c>
      <c r="G12" s="36">
        <v>8.0529909133911133</v>
      </c>
      <c r="H12" s="36">
        <v>8.0640802383422852</v>
      </c>
      <c r="I12" s="36">
        <v>8.1513662338256836</v>
      </c>
      <c r="J12" s="36">
        <v>8.0342922210693359</v>
      </c>
      <c r="K12" s="36">
        <v>7.9965023994445801</v>
      </c>
      <c r="L12" s="36">
        <v>8.0417509078979492</v>
      </c>
      <c r="M12" s="36">
        <v>7.747157096862793</v>
      </c>
      <c r="N12" s="36">
        <v>7.8546767234802246</v>
      </c>
      <c r="O12" s="29">
        <f t="shared" si="0"/>
        <v>-1.7069594245598892E-2</v>
      </c>
      <c r="P12" s="29">
        <f t="shared" si="1"/>
        <v>-2.2356107127655005E-2</v>
      </c>
    </row>
    <row r="13" spans="1:17" ht="18" customHeight="1">
      <c r="A13" s="187"/>
      <c r="B13" s="37" t="s">
        <v>190</v>
      </c>
      <c r="C13" s="31"/>
      <c r="D13" s="31">
        <v>83.93798828125</v>
      </c>
      <c r="E13" s="31">
        <v>81.844619750976563</v>
      </c>
      <c r="F13" s="31">
        <v>82.607139587402344</v>
      </c>
      <c r="G13" s="31">
        <v>81.616073608398438</v>
      </c>
      <c r="H13" s="31">
        <v>82.327354431152344</v>
      </c>
      <c r="I13" s="31">
        <v>81.142074584960938</v>
      </c>
      <c r="J13" s="31">
        <v>75.424530029296875</v>
      </c>
      <c r="K13" s="31">
        <v>73.778327941894531</v>
      </c>
      <c r="L13" s="31">
        <v>79.344635009765625</v>
      </c>
      <c r="M13" s="31">
        <v>74.33502197265625</v>
      </c>
      <c r="N13" s="31">
        <v>73.880599975585938</v>
      </c>
      <c r="O13" s="29">
        <f t="shared" si="0"/>
        <v>-0.11981926790960123</v>
      </c>
      <c r="P13" s="29">
        <f t="shared" si="1"/>
        <v>-2.0469866409657898E-2</v>
      </c>
    </row>
    <row r="14" spans="1:17" ht="18" customHeight="1">
      <c r="A14" s="187"/>
      <c r="B14" s="37" t="s">
        <v>191</v>
      </c>
      <c r="C14" s="31"/>
      <c r="D14" s="31">
        <v>4.9066281318664551</v>
      </c>
      <c r="E14" s="31">
        <v>5.053800106048584</v>
      </c>
      <c r="F14" s="31">
        <v>5.0537447929382324</v>
      </c>
      <c r="G14" s="31">
        <v>12.441569328308105</v>
      </c>
      <c r="H14" s="31">
        <v>4.9075226783752441</v>
      </c>
      <c r="I14" s="31">
        <v>5.0655736923217773</v>
      </c>
      <c r="J14" s="31">
        <v>4.8937263488769531</v>
      </c>
      <c r="K14" s="31">
        <v>4.731379508972168</v>
      </c>
      <c r="L14" s="31">
        <v>4.8727116584777832</v>
      </c>
      <c r="M14" s="31">
        <v>4.6946191787719727</v>
      </c>
      <c r="N14" s="31">
        <v>4.788475513458252</v>
      </c>
      <c r="O14" s="29">
        <f t="shared" si="0"/>
        <v>-2.4080206453970358E-2</v>
      </c>
      <c r="P14" s="29">
        <f t="shared" si="1"/>
        <v>-2.1507298920148014E-2</v>
      </c>
    </row>
    <row r="15" spans="1:17" ht="18" customHeight="1">
      <c r="A15" s="187"/>
      <c r="B15" s="37" t="s">
        <v>192</v>
      </c>
      <c r="C15" s="31"/>
      <c r="D15" s="31">
        <v>63.616230010986328</v>
      </c>
      <c r="E15" s="31">
        <v>62.597126007080078</v>
      </c>
      <c r="F15" s="31">
        <v>63.460651397705078</v>
      </c>
      <c r="G15" s="31">
        <v>63.833522796630859</v>
      </c>
      <c r="H15" s="31">
        <v>63.986263275146484</v>
      </c>
      <c r="I15" s="31">
        <v>64.282341003417969</v>
      </c>
      <c r="J15" s="31">
        <v>60.680183410644531</v>
      </c>
      <c r="K15" s="31">
        <v>59.413619995117188</v>
      </c>
      <c r="L15" s="31">
        <v>61.841312408447266</v>
      </c>
      <c r="M15" s="31">
        <v>58.70867919921875</v>
      </c>
      <c r="N15" s="31">
        <v>59.064430236816406</v>
      </c>
      <c r="O15" s="29">
        <f t="shared" si="0"/>
        <v>-7.1550919842056651E-2</v>
      </c>
      <c r="P15" s="29">
        <f t="shared" si="1"/>
        <v>-2.6627361405514294E-2</v>
      </c>
    </row>
    <row r="16" spans="1:17" ht="18" customHeight="1">
      <c r="A16" s="187"/>
      <c r="B16" s="37" t="s">
        <v>193</v>
      </c>
      <c r="C16" s="33"/>
      <c r="D16" s="33">
        <v>18.364730834960938</v>
      </c>
      <c r="E16" s="33">
        <v>18.630903244018555</v>
      </c>
      <c r="F16" s="33">
        <v>18.581892013549805</v>
      </c>
      <c r="G16" s="33">
        <v>16.167354583740234</v>
      </c>
      <c r="H16" s="33">
        <v>18.1937255859375</v>
      </c>
      <c r="I16" s="33">
        <v>16.30650520324707</v>
      </c>
      <c r="J16" s="33">
        <v>16.205360412597656</v>
      </c>
      <c r="K16" s="33">
        <v>13.612238883972168</v>
      </c>
      <c r="L16" s="33">
        <v>18.49797248840332</v>
      </c>
      <c r="M16" s="33">
        <v>12.22401237487793</v>
      </c>
      <c r="N16" s="33">
        <v>9.8078775405883789</v>
      </c>
      <c r="O16" s="29">
        <f t="shared" si="0"/>
        <v>-0.46593948864651352</v>
      </c>
      <c r="P16" s="29">
        <f t="shared" si="1"/>
        <v>-0.39477572291672258</v>
      </c>
    </row>
    <row r="17" spans="1:16" ht="18" customHeight="1">
      <c r="A17" s="187"/>
      <c r="B17" s="37" t="s">
        <v>200</v>
      </c>
      <c r="C17" s="33"/>
      <c r="D17" s="33">
        <f ca="1">50.62038671875*OFFSET(D$113,MATCH($N$1,$C$113:$C$114,0)-1,0)</f>
        <v>50.620386718749998</v>
      </c>
      <c r="E17" s="33">
        <f ca="1">50.43799609375*OFFSET(E$113,MATCH($N$1,$C$113:$C$114,0)-1,0)</f>
        <v>50.437996093750002</v>
      </c>
      <c r="F17" s="33">
        <f ca="1">54.821546875*OFFSET(F$113,MATCH($N$1,$C$113:$C$114,0)-1,0)</f>
        <v>54.821546875000003</v>
      </c>
      <c r="G17" s="33">
        <f ca="1">46.37494140625*OFFSET(G$113,MATCH($N$1,$C$113:$C$114,0)-1,0)</f>
        <v>46.374941406250002</v>
      </c>
      <c r="H17" s="33">
        <f ca="1">50.38850390625*OFFSET(H$113,MATCH($N$1,$C$113:$C$114,0)-1,0)</f>
        <v>50.388503906250001</v>
      </c>
      <c r="I17" s="33">
        <f ca="1">51.23107421875*OFFSET(I$113,MATCH($N$1,$C$113:$C$114,0)-1,0)</f>
        <v>51.231074218750003</v>
      </c>
      <c r="J17" s="33">
        <f ca="1">52.56821484375*OFFSET(J$113,MATCH($N$1,$C$113:$C$114,0)-1,0)</f>
        <v>52.568214843749999</v>
      </c>
      <c r="K17" s="33">
        <f ca="1">44.93480078125*OFFSET(K$113,MATCH($N$1,$C$113:$C$114,0)-1,0)</f>
        <v>44.934800781249997</v>
      </c>
      <c r="L17" s="33">
        <f ca="1">43.161515625*OFFSET(L$113,MATCH($N$1,$C$113:$C$114,0)-1,0)</f>
        <v>43.161515625</v>
      </c>
      <c r="M17" s="33">
        <f ca="1">41.16921875*OFFSET(M$113,MATCH($N$1,$C$113:$C$114,0)-1,0)</f>
        <v>41.169218749999999</v>
      </c>
      <c r="N17" s="33">
        <v>41.908066406250001</v>
      </c>
      <c r="O17" s="29">
        <f t="shared" ca="1" si="0"/>
        <v>-0.17211089992074119</v>
      </c>
      <c r="P17" s="29">
        <f t="shared" ca="1" si="1"/>
        <v>-0.20278695917648071</v>
      </c>
    </row>
    <row r="18" spans="1:16" ht="18" customHeight="1">
      <c r="A18" s="187"/>
      <c r="B18" s="37" t="s">
        <v>195</v>
      </c>
      <c r="C18" s="31"/>
      <c r="D18" s="31">
        <v>84.745170593261719</v>
      </c>
      <c r="E18" s="31">
        <v>85.27490234375</v>
      </c>
      <c r="F18" s="31">
        <v>88.857139587402344</v>
      </c>
      <c r="G18" s="31">
        <v>80.745536804199219</v>
      </c>
      <c r="H18" s="31">
        <v>83.448432922363281</v>
      </c>
      <c r="I18" s="31">
        <v>84.229507446289063</v>
      </c>
      <c r="J18" s="31">
        <v>78.160377502441406</v>
      </c>
      <c r="K18" s="31">
        <v>69.679801940917969</v>
      </c>
      <c r="L18" s="31">
        <v>63.604518890380859</v>
      </c>
      <c r="M18" s="31">
        <v>61.893402099609375</v>
      </c>
      <c r="N18" s="31">
        <v>55.338310241699219</v>
      </c>
      <c r="O18" s="29">
        <f t="shared" si="0"/>
        <v>-0.34700337666086079</v>
      </c>
      <c r="P18" s="29">
        <f t="shared" si="1"/>
        <v>-0.29199023840473803</v>
      </c>
    </row>
    <row r="19" spans="1:16" ht="18" customHeight="1">
      <c r="A19" s="187"/>
      <c r="B19" s="37" t="s">
        <v>201</v>
      </c>
      <c r="C19" s="31"/>
      <c r="D19" s="31">
        <v>20.768339157104492</v>
      </c>
      <c r="E19" s="31">
        <v>21.358566284179688</v>
      </c>
      <c r="F19" s="31">
        <v>22.035715103149414</v>
      </c>
      <c r="G19" s="31">
        <v>22.339284896850586</v>
      </c>
      <c r="H19" s="31">
        <v>22.309417724609375</v>
      </c>
      <c r="I19" s="31">
        <v>22.524589538574219</v>
      </c>
      <c r="J19" s="31">
        <v>24.63679313659668</v>
      </c>
      <c r="K19" s="31">
        <v>25.719211578369141</v>
      </c>
      <c r="L19" s="31">
        <v>24.949151992797852</v>
      </c>
      <c r="M19" s="31">
        <v>25.548223495483398</v>
      </c>
      <c r="N19" s="31">
        <v>25.945274353027344</v>
      </c>
      <c r="O19" s="29">
        <f t="shared" si="0"/>
        <v>0.24927054381967326</v>
      </c>
      <c r="P19" s="29">
        <f t="shared" si="1"/>
        <v>5.3110857779902494E-2</v>
      </c>
    </row>
    <row r="20" spans="1:16" ht="18" customHeight="1">
      <c r="A20" s="187"/>
      <c r="B20" s="37" t="s">
        <v>202</v>
      </c>
      <c r="C20" s="38"/>
      <c r="D20" s="38">
        <v>0.21670533716678619</v>
      </c>
      <c r="E20" s="38">
        <v>0.21848049759864807</v>
      </c>
      <c r="F20" s="38">
        <v>0.209120973944664</v>
      </c>
      <c r="G20" s="38">
        <v>0.20022597908973694</v>
      </c>
      <c r="H20" s="38">
        <v>0.21802356839179993</v>
      </c>
      <c r="I20" s="38">
        <v>0.19359610974788666</v>
      </c>
      <c r="J20" s="38">
        <v>0.2073347270488739</v>
      </c>
      <c r="K20" s="38">
        <v>0.1953541487455368</v>
      </c>
      <c r="L20" s="38">
        <v>0.29082795977592468</v>
      </c>
      <c r="M20" s="38">
        <v>0.19750106334686279</v>
      </c>
      <c r="N20" s="38">
        <v>0.17723485827445984</v>
      </c>
      <c r="O20" s="29">
        <f t="shared" si="0"/>
        <v>-0.1821389330247464</v>
      </c>
      <c r="P20" s="29">
        <f t="shared" si="1"/>
        <v>-0.14517524007118587</v>
      </c>
    </row>
    <row r="21" spans="1:16" ht="18" customHeight="1">
      <c r="A21" s="188"/>
      <c r="B21" s="39" t="s">
        <v>203</v>
      </c>
      <c r="C21" s="40"/>
      <c r="D21" s="40">
        <f ca="1">2756*OFFSET(D$113,MATCH($N$1,$C$113:$C$114,0)-1,0)</f>
        <v>2756</v>
      </c>
      <c r="E21" s="40">
        <f ca="1">2707*OFFSET(E$113,MATCH($N$1,$C$113:$C$114,0)-1,0)</f>
        <v>2707</v>
      </c>
      <c r="F21" s="40">
        <f ca="1">2950*OFFSET(F$113,MATCH($N$1,$C$113:$C$114,0)-1,0)</f>
        <v>2950</v>
      </c>
      <c r="G21" s="40">
        <f ca="1">2868*OFFSET(G$113,MATCH($N$1,$C$113:$C$114,0)-1,0)</f>
        <v>2868</v>
      </c>
      <c r="H21" s="40">
        <f ca="1">2770*OFFSET(H$113,MATCH($N$1,$C$113:$C$114,0)-1,0)</f>
        <v>2770</v>
      </c>
      <c r="I21" s="40">
        <f ca="1">3142*OFFSET(I$113,MATCH($N$1,$C$113:$C$114,0)-1,0)</f>
        <v>3142</v>
      </c>
      <c r="J21" s="40">
        <f ca="1">3244*OFFSET(J$113,MATCH($N$1,$C$113:$C$114,0)-1,0)</f>
        <v>3244</v>
      </c>
      <c r="K21" s="40">
        <f ca="1">3301*OFFSET(K$113,MATCH($N$1,$C$113:$C$114,0)-1,0)</f>
        <v>3301</v>
      </c>
      <c r="L21" s="40">
        <f ca="1">2333*OFFSET(L$113,MATCH($N$1,$C$113:$C$114,0)-1,0)</f>
        <v>2333</v>
      </c>
      <c r="M21" s="40">
        <f ca="1">3368*OFFSET(M$113,MATCH($N$1,$C$113:$C$114,0)-1,0)</f>
        <v>3368</v>
      </c>
      <c r="N21" s="40">
        <v>4273</v>
      </c>
      <c r="O21" s="34">
        <f t="shared" ca="1" si="0"/>
        <v>0.55043541364296078</v>
      </c>
      <c r="P21" s="34">
        <f t="shared" ca="1" si="1"/>
        <v>0.31720098643649813</v>
      </c>
    </row>
    <row r="22" spans="1:16" ht="18" customHeight="1">
      <c r="A22" s="189" t="s">
        <v>204</v>
      </c>
      <c r="B22" s="35" t="s">
        <v>205</v>
      </c>
      <c r="C22" s="41"/>
      <c r="D22" s="41">
        <v>2.4833358819718883</v>
      </c>
      <c r="E22" s="41">
        <v>2.6762825742437659</v>
      </c>
      <c r="F22" s="41">
        <v>2.5586458683301396</v>
      </c>
      <c r="G22" s="41">
        <v>2.3211940517843908</v>
      </c>
      <c r="H22" s="41">
        <v>2.5423080048544415</v>
      </c>
      <c r="I22" s="41">
        <v>2.3732360941998358</v>
      </c>
      <c r="J22" s="41">
        <v>2.5689231296350865</v>
      </c>
      <c r="K22" s="41">
        <v>2.6049135191605219</v>
      </c>
      <c r="L22" s="41">
        <v>3.7222859015005145</v>
      </c>
      <c r="M22" s="41">
        <v>2.5356349098654043</v>
      </c>
      <c r="N22" s="41">
        <v>2.2498956852932457</v>
      </c>
      <c r="O22" s="29">
        <f t="shared" si="0"/>
        <v>-9.4002667288518305E-2</v>
      </c>
      <c r="P22" s="29">
        <f t="shared" si="1"/>
        <v>-0.12418722875026565</v>
      </c>
    </row>
    <row r="23" spans="1:16" ht="18" customHeight="1">
      <c r="A23" s="189"/>
      <c r="B23" s="37" t="s">
        <v>206</v>
      </c>
      <c r="C23" s="38"/>
      <c r="D23" s="38">
        <f ca="1">6.84504574707166*OFFSET(D$113,MATCH($N$1,$C$113:$C$114,0)-1,0)</f>
        <v>6.8450457470716604</v>
      </c>
      <c r="E23" s="38">
        <f ca="1">7.24529177450458*OFFSET(E$113,MATCH($N$1,$C$113:$C$114,0)-1,0)</f>
        <v>7.2452917745045804</v>
      </c>
      <c r="F23" s="38">
        <f ca="1">7.54868903042287*OFFSET(F$113,MATCH($N$1,$C$113:$C$114,0)-1,0)</f>
        <v>7.54868903042287</v>
      </c>
      <c r="G23" s="38">
        <f ca="1">6.65818502256997*OFFSET(G$113,MATCH($N$1,$C$113:$C$114,0)-1,0)</f>
        <v>6.6581850225699704</v>
      </c>
      <c r="H23" s="38">
        <f ca="1">7.04105908536477*OFFSET(H$113,MATCH($N$1,$C$113:$C$114,0)-1,0)</f>
        <v>7.0410590853647701</v>
      </c>
      <c r="I23" s="38">
        <f ca="1">7.4561307260588*OFFSET(I$113,MATCH($N$1,$C$113:$C$114,0)-1,0)</f>
        <v>7.4561307260587997</v>
      </c>
      <c r="J23" s="38">
        <f ca="1">8.33327365497876*OFFSET(J$113,MATCH($N$1,$C$113:$C$114,0)-1,0)</f>
        <v>8.3332736549787594</v>
      </c>
      <c r="K23" s="38">
        <f ca="1">8.59897266229186*OFFSET(K$113,MATCH($N$1,$C$113:$C$114,0)-1,0)</f>
        <v>8.5989726622918603</v>
      </c>
      <c r="L23" s="38">
        <f ca="1">8.68524921847796*OFFSET(L$113,MATCH($N$1,$C$113:$C$114,0)-1,0)</f>
        <v>8.6852492184779599</v>
      </c>
      <c r="M23" s="38">
        <f ca="1">8.53975806576585*OFFSET(M$113,MATCH($N$1,$C$113:$C$114,0)-1,0)</f>
        <v>8.5397580657658505</v>
      </c>
      <c r="N23" s="38">
        <v>9.6135761683611189</v>
      </c>
      <c r="O23" s="29">
        <f t="shared" ca="1" si="0"/>
        <v>0.40445754836245584</v>
      </c>
      <c r="P23" s="29">
        <f t="shared" ca="1" si="1"/>
        <v>0.15363740186516447</v>
      </c>
    </row>
    <row r="24" spans="1:16" ht="18" customHeight="1">
      <c r="A24" s="189"/>
      <c r="B24" s="37" t="s">
        <v>153</v>
      </c>
      <c r="C24" s="38"/>
      <c r="D24" s="38">
        <f ca="1">4.81794130617462*OFFSET(D$113,MATCH($N$1,$C$113:$C$114,0)-1,0)</f>
        <v>4.8179413061746201</v>
      </c>
      <c r="E24" s="38">
        <f ca="1">5.09418651645216*OFFSET(E$113,MATCH($N$1,$C$113:$C$114,0)-1,0)</f>
        <v>5.0941865164521598</v>
      </c>
      <c r="F24" s="38">
        <f ca="1">5.30121049813758*OFFSET(F$113,MATCH($N$1,$C$113:$C$114,0)-1,0)</f>
        <v>5.3012104981375803</v>
      </c>
      <c r="G24" s="38">
        <f ca="1">5.01294098017951*OFFSET(G$113,MATCH($N$1,$C$113:$C$114,0)-1,0)</f>
        <v>5.0129409801795104</v>
      </c>
      <c r="H24" s="38">
        <f ca="1">4.96150732495426*OFFSET(H$113,MATCH($N$1,$C$113:$C$114,0)-1,0)</f>
        <v>4.9615073249542601</v>
      </c>
      <c r="I24" s="38">
        <f ca="1">4.7772880668568*OFFSET(I$113,MATCH($N$1,$C$113:$C$114,0)-1,0)</f>
        <v>4.7772880668567996</v>
      </c>
      <c r="J24" s="38">
        <f ca="1">5.91127134502588*OFFSET(J$113,MATCH($N$1,$C$113:$C$114,0)-1,0)</f>
        <v>5.91127134502588</v>
      </c>
      <c r="K24" s="38">
        <f ca="1">6.31380209513503*OFFSET(K$113,MATCH($N$1,$C$113:$C$114,0)-1,0)</f>
        <v>6.3138020951350304</v>
      </c>
      <c r="L24" s="38">
        <f ca="1">6.0348181138613*OFFSET(L$113,MATCH($N$1,$C$113:$C$114,0)-1,0)</f>
        <v>6.0348181138613004</v>
      </c>
      <c r="M24" s="38">
        <f ca="1">5.85922353377772*OFFSET(M$113,MATCH($N$1,$C$113:$C$114,0)-1,0)</f>
        <v>5.8592235337777199</v>
      </c>
      <c r="N24" s="38">
        <v>6.8357770402033564</v>
      </c>
      <c r="O24" s="29">
        <f t="shared" ca="1" si="0"/>
        <v>0.41881700207569994</v>
      </c>
      <c r="P24" s="29">
        <f t="shared" ca="1" si="1"/>
        <v>0.15639709991580988</v>
      </c>
    </row>
    <row r="25" spans="1:16" ht="18" customHeight="1">
      <c r="A25" s="189"/>
      <c r="B25" s="37" t="s">
        <v>154</v>
      </c>
      <c r="C25" s="38"/>
      <c r="D25" s="38">
        <f ca="1">2.46769643549128*OFFSET(D$113,MATCH($N$1,$C$113:$C$114,0)-1,0)</f>
        <v>2.46769643549128</v>
      </c>
      <c r="E25" s="38">
        <f ca="1">2.21882198813884*OFFSET(E$113,MATCH($N$1,$C$113:$C$114,0)-1,0)</f>
        <v>2.2188219881388398</v>
      </c>
      <c r="F25" s="38">
        <f ca="1">2.7897621932767*OFFSET(F$113,MATCH($N$1,$C$113:$C$114,0)-1,0)</f>
        <v>2.7897621932767001</v>
      </c>
      <c r="G25" s="38">
        <f ca="1">1.73169477017469*OFFSET(G$113,MATCH($N$1,$C$113:$C$114,0)-1,0)</f>
        <v>1.7316947701746901</v>
      </c>
      <c r="H25" s="38">
        <f ca="1">2.17575209625315*OFFSET(H$113,MATCH($N$1,$C$113:$C$114,0)-1,0)</f>
        <v>2.17575209625315</v>
      </c>
      <c r="I25" s="38">
        <f ca="1">2.75113503538422*OFFSET(I$113,MATCH($N$1,$C$113:$C$114,0)-1,0)</f>
        <v>2.7511350353842201</v>
      </c>
      <c r="J25" s="38">
        <f ca="1">2.43160701888661*OFFSET(J$113,MATCH($N$1,$C$113:$C$114,0)-1,0)</f>
        <v>2.4316070188866101</v>
      </c>
      <c r="K25" s="38">
        <f ca="1">2.54669454797879*OFFSET(K$113,MATCH($N$1,$C$113:$C$114,0)-1,0)</f>
        <v>2.5466945479787899</v>
      </c>
      <c r="L25" s="38">
        <f ca="1">4.49099235417156*OFFSET(L$113,MATCH($N$1,$C$113:$C$114,0)-1,0)</f>
        <v>4.49099235417156</v>
      </c>
      <c r="M25" s="38">
        <f ca="1">2.91436263841666*OFFSET(M$113,MATCH($N$1,$C$113:$C$114,0)-1,0)</f>
        <v>2.9143626384166601</v>
      </c>
      <c r="N25" s="38">
        <v>2.9471200061112741</v>
      </c>
      <c r="O25" s="29">
        <f t="shared" ca="1" si="0"/>
        <v>0.19427980027233305</v>
      </c>
      <c r="P25" s="29">
        <f t="shared" ca="1" si="1"/>
        <v>0.21200505806267506</v>
      </c>
    </row>
    <row r="26" spans="1:16" ht="18" customHeight="1">
      <c r="A26" s="189"/>
      <c r="B26" s="37" t="s">
        <v>207</v>
      </c>
      <c r="C26" s="33"/>
      <c r="D26" s="33">
        <f ca="1">70.9*OFFSET(D$113,MATCH($N$1,$C$113:$C$114,0)-1,0)</f>
        <v>70.900000000000006</v>
      </c>
      <c r="E26" s="33">
        <f ca="1">68.25*OFFSET(E$113,MATCH($N$1,$C$113:$C$114,0)-1,0)</f>
        <v>68.25</v>
      </c>
      <c r="F26" s="33">
        <f ca="1">79.07*OFFSET(F$113,MATCH($N$1,$C$113:$C$114,0)-1,0)</f>
        <v>79.069999999999993</v>
      </c>
      <c r="G26" s="33">
        <f ca="1">71.9*OFFSET(G$113,MATCH($N$1,$C$113:$C$114,0)-1,0)</f>
        <v>71.900000000000006</v>
      </c>
      <c r="H26" s="33">
        <f ca="1">69.29*OFFSET(H$113,MATCH($N$1,$C$113:$C$114,0)-1,0)</f>
        <v>69.290000000000006</v>
      </c>
      <c r="I26" s="33">
        <f ca="1">68.59*OFFSET(I$113,MATCH($N$1,$C$113:$C$114,0)-1,0)</f>
        <v>68.59</v>
      </c>
      <c r="J26" s="33">
        <f ca="1">98.76*OFFSET(J$113,MATCH($N$1,$C$113:$C$114,0)-1,0)</f>
        <v>98.76</v>
      </c>
      <c r="K26" s="33">
        <f ca="1">82.18*OFFSET(K$113,MATCH($N$1,$C$113:$C$114,0)-1,0)</f>
        <v>82.18</v>
      </c>
      <c r="L26" s="33">
        <f ca="1">152.61*OFFSET(L$113,MATCH($N$1,$C$113:$C$114,0)-1,0)</f>
        <v>152.61000000000001</v>
      </c>
      <c r="M26" s="33">
        <f ca="1">99.62*OFFSET(M$113,MATCH($N$1,$C$113:$C$114,0)-1,0)</f>
        <v>99.62</v>
      </c>
      <c r="N26" s="33">
        <v>113.14</v>
      </c>
      <c r="O26" s="29">
        <f t="shared" ca="1" si="0"/>
        <v>0.59576868829337082</v>
      </c>
      <c r="P26" s="29">
        <f t="shared" ca="1" si="1"/>
        <v>0.1456055083029566</v>
      </c>
    </row>
    <row r="27" spans="1:16" ht="18" customHeight="1">
      <c r="A27" s="190"/>
      <c r="B27" s="37" t="s">
        <v>208</v>
      </c>
      <c r="C27" s="33"/>
      <c r="D27" s="33">
        <f ca="1">25.5*OFFSET(D$113,MATCH($N$1,$C$113:$C$114,0)-1,0)</f>
        <v>25.5</v>
      </c>
      <c r="E27" s="33">
        <f ca="1">20.85*OFFSET(E$113,MATCH($N$1,$C$113:$C$114,0)-1,0)</f>
        <v>20.85</v>
      </c>
      <c r="F27" s="33">
        <f ca="1">29.29*OFFSET(F$113,MATCH($N$1,$C$113:$C$114,0)-1,0)</f>
        <v>29.29</v>
      </c>
      <c r="G27" s="33">
        <f ca="1">18.75*OFFSET(G$113,MATCH($N$1,$C$113:$C$114,0)-1,0)</f>
        <v>18.75</v>
      </c>
      <c r="H27" s="33">
        <f ca="1">21.45*OFFSET(H$113,MATCH($N$1,$C$113:$C$114,0)-1,0)</f>
        <v>21.45</v>
      </c>
      <c r="I27" s="33">
        <f ca="1">25.32*OFFSET(I$113,MATCH($N$1,$C$113:$C$114,0)-1,0)</f>
        <v>25.32</v>
      </c>
      <c r="J27" s="33">
        <f ca="1">28.73*OFFSET(J$113,MATCH($N$1,$C$113:$C$114,0)-1,0)</f>
        <v>28.73</v>
      </c>
      <c r="K27" s="33">
        <f ca="1">24.34*OFFSET(K$113,MATCH($N$1,$C$113:$C$114,0)-1,0)</f>
        <v>24.34</v>
      </c>
      <c r="L27" s="33">
        <f ca="1">78.78*OFFSET(L$113,MATCH($N$1,$C$113:$C$114,0)-1,0)</f>
        <v>78.78</v>
      </c>
      <c r="M27" s="33">
        <f ca="1">33.85*OFFSET(M$113,MATCH($N$1,$C$113:$C$114,0)-1,0)</f>
        <v>33.85</v>
      </c>
      <c r="N27" s="33">
        <v>34.56</v>
      </c>
      <c r="O27" s="34">
        <f t="shared" ca="1" si="0"/>
        <v>0.35529411764705893</v>
      </c>
      <c r="P27" s="34">
        <f t="shared" ca="1" si="1"/>
        <v>0.20292377305951972</v>
      </c>
    </row>
    <row r="28" spans="1:16" s="78" customFormat="1" ht="18" customHeight="1">
      <c r="A28" s="191" t="s">
        <v>209</v>
      </c>
      <c r="B28" s="82" t="s">
        <v>200</v>
      </c>
      <c r="C28" s="83"/>
      <c r="D28" s="83">
        <f ca="1">50.6*OFFSET(D$113,MATCH($N$1,$C$113:$C$114,0)-1,0)</f>
        <v>50.6</v>
      </c>
      <c r="E28" s="83">
        <f ca="1">50.4*OFFSET(E$113,MATCH($N$1,$C$113:$C$114,0)-1,0)</f>
        <v>50.4</v>
      </c>
      <c r="F28" s="83">
        <f ca="1">54.8*OFFSET(F$113,MATCH($N$1,$C$113:$C$114,0)-1,0)</f>
        <v>54.8</v>
      </c>
      <c r="G28" s="83">
        <f ca="1">46.4*OFFSET(G$113,MATCH($N$1,$C$113:$C$114,0)-1,0)</f>
        <v>46.4</v>
      </c>
      <c r="H28" s="83">
        <f ca="1">50.4*OFFSET(H$113,MATCH($N$1,$C$113:$C$114,0)-1,0)</f>
        <v>50.4</v>
      </c>
      <c r="I28" s="83">
        <f ca="1">51.2*OFFSET(I$113,MATCH($N$1,$C$113:$C$114,0)-1,0)</f>
        <v>51.2</v>
      </c>
      <c r="J28" s="83">
        <f ca="1">52.6*OFFSET(J$113,MATCH($N$1,$C$113:$C$114,0)-1,0)</f>
        <v>52.6</v>
      </c>
      <c r="K28" s="83">
        <f ca="1">44.9*OFFSET(K$113,MATCH($N$1,$C$113:$C$114,0)-1,0)</f>
        <v>44.9</v>
      </c>
      <c r="L28" s="83">
        <f ca="1">43.2*OFFSET(L$113,MATCH($N$1,$C$113:$C$114,0)-1,0)</f>
        <v>43.2</v>
      </c>
      <c r="M28" s="83">
        <f ca="1">41.2*OFFSET(M$113,MATCH($N$1,$C$113:$C$114,0)-1,0)</f>
        <v>41.2</v>
      </c>
      <c r="N28" s="83">
        <v>41.9</v>
      </c>
      <c r="O28" s="84">
        <f t="shared" ca="1" si="0"/>
        <v>-0.17193675889328069</v>
      </c>
      <c r="P28" s="84">
        <f t="shared" ca="1" si="1"/>
        <v>-0.20342205323193921</v>
      </c>
    </row>
    <row r="29" spans="1:16" s="78" customFormat="1" ht="18" customHeight="1">
      <c r="A29" s="192"/>
      <c r="B29" s="85" t="s">
        <v>210</v>
      </c>
      <c r="C29" s="86"/>
      <c r="D29" s="86">
        <f ca="1">3.3*OFFSET(D$113,MATCH($N$1,$C$113:$C$114,0)-1,0)</f>
        <v>3.3</v>
      </c>
      <c r="E29" s="86">
        <f ca="1">0.5*OFFSET(E$113,MATCH($N$1,$C$113:$C$114,0)-1,0)</f>
        <v>0.5</v>
      </c>
      <c r="F29" s="86">
        <f ca="1">3.9*OFFSET(F$113,MATCH($N$1,$C$113:$C$114,0)-1,0)</f>
        <v>3.9</v>
      </c>
      <c r="G29" s="86">
        <f ca="1">0.6*OFFSET(G$113,MATCH($N$1,$C$113:$C$114,0)-1,0)</f>
        <v>0.6</v>
      </c>
      <c r="H29" s="86">
        <f ca="1">0.7*OFFSET(H$113,MATCH($N$1,$C$113:$C$114,0)-1,0)</f>
        <v>0.7</v>
      </c>
      <c r="I29" s="86">
        <f ca="1">0.5*OFFSET(I$113,MATCH($N$1,$C$113:$C$114,0)-1,0)</f>
        <v>0.5</v>
      </c>
      <c r="J29" s="86">
        <f ca="1">0.1*OFFSET(J$113,MATCH($N$1,$C$113:$C$114,0)-1,0)</f>
        <v>0.1</v>
      </c>
      <c r="K29" s="86">
        <f ca="1">1.4*OFFSET(K$113,MATCH($N$1,$C$113:$C$114,0)-1,0)</f>
        <v>1.4</v>
      </c>
      <c r="L29" s="86">
        <f ca="1">9.1*OFFSET(L$113,MATCH($N$1,$C$113:$C$114,0)-1,0)</f>
        <v>9.1</v>
      </c>
      <c r="M29" s="86">
        <f ca="1">1.1*OFFSET(M$113,MATCH($N$1,$C$113:$C$114,0)-1,0)</f>
        <v>1.1000000000000001</v>
      </c>
      <c r="N29" s="86">
        <v>0.70000000000000007</v>
      </c>
      <c r="O29" s="84">
        <f t="shared" ca="1" si="0"/>
        <v>-0.78787878787878785</v>
      </c>
      <c r="P29" s="84">
        <f t="shared" ca="1" si="1"/>
        <v>6.0000000000000009</v>
      </c>
    </row>
    <row r="30" spans="1:16" s="78" customFormat="1" ht="18" customHeight="1">
      <c r="A30" s="192"/>
      <c r="B30" s="87" t="s">
        <v>211</v>
      </c>
      <c r="C30" s="88"/>
      <c r="D30" s="88">
        <f ca="1">53.9*OFFSET(D$113,MATCH($N$1,$C$113:$C$114,0)-1,0)</f>
        <v>53.9</v>
      </c>
      <c r="E30" s="88">
        <f ca="1">50.9*OFFSET(E$113,MATCH($N$1,$C$113:$C$114,0)-1,0)</f>
        <v>50.9</v>
      </c>
      <c r="F30" s="88">
        <f ca="1">58.8*OFFSET(F$113,MATCH($N$1,$C$113:$C$114,0)-1,0)</f>
        <v>58.8</v>
      </c>
      <c r="G30" s="88">
        <f ca="1">47*OFFSET(G$113,MATCH($N$1,$C$113:$C$114,0)-1,0)</f>
        <v>47</v>
      </c>
      <c r="H30" s="88">
        <f ca="1">51.1*OFFSET(H$113,MATCH($N$1,$C$113:$C$114,0)-1,0)</f>
        <v>51.1</v>
      </c>
      <c r="I30" s="88">
        <f ca="1">51.7*OFFSET(I$113,MATCH($N$1,$C$113:$C$114,0)-1,0)</f>
        <v>51.7</v>
      </c>
      <c r="J30" s="88">
        <f ca="1">52.6*OFFSET(J$113,MATCH($N$1,$C$113:$C$114,0)-1,0)</f>
        <v>52.6</v>
      </c>
      <c r="K30" s="88">
        <f ca="1">46.3*OFFSET(K$113,MATCH($N$1,$C$113:$C$114,0)-1,0)</f>
        <v>46.3</v>
      </c>
      <c r="L30" s="88">
        <f ca="1">52.3*OFFSET(L$113,MATCH($N$1,$C$113:$C$114,0)-1,0)</f>
        <v>52.3</v>
      </c>
      <c r="M30" s="88">
        <f ca="1">42.3*OFFSET(M$113,MATCH($N$1,$C$113:$C$114,0)-1,0)</f>
        <v>42.3</v>
      </c>
      <c r="N30" s="88">
        <v>42.6</v>
      </c>
      <c r="O30" s="84">
        <f t="shared" ca="1" si="0"/>
        <v>-0.20964749536178104</v>
      </c>
      <c r="P30" s="84">
        <f t="shared" ca="1" si="1"/>
        <v>-0.19011406844106463</v>
      </c>
    </row>
    <row r="31" spans="1:16" s="78" customFormat="1" ht="18" customHeight="1">
      <c r="A31" s="192"/>
      <c r="B31" s="85" t="s">
        <v>212</v>
      </c>
      <c r="C31" s="86"/>
      <c r="D31" s="86">
        <f ca="1">6.3*OFFSET(D$113,MATCH($N$1,$C$113:$C$114,0)-1,0)</f>
        <v>6.3</v>
      </c>
      <c r="E31" s="86">
        <f ca="1">5.7*OFFSET(E$113,MATCH($N$1,$C$113:$C$114,0)-1,0)</f>
        <v>5.7</v>
      </c>
      <c r="F31" s="86">
        <f ca="1">5.5*OFFSET(F$113,MATCH($N$1,$C$113:$C$114,0)-1,0)</f>
        <v>5.5</v>
      </c>
      <c r="G31" s="86">
        <f ca="1">3.7*OFFSET(G$113,MATCH($N$1,$C$113:$C$114,0)-1,0)</f>
        <v>3.7</v>
      </c>
      <c r="H31" s="86">
        <f ca="1">3.5*OFFSET(H$113,MATCH($N$1,$C$113:$C$114,0)-1,0)</f>
        <v>3.5</v>
      </c>
      <c r="I31" s="86">
        <f ca="1">4.2*OFFSET(I$113,MATCH($N$1,$C$113:$C$114,0)-1,0)</f>
        <v>4.2</v>
      </c>
      <c r="J31" s="86">
        <f ca="1">4.6*OFFSET(J$113,MATCH($N$1,$C$113:$C$114,0)-1,0)</f>
        <v>4.5999999999999996</v>
      </c>
      <c r="K31" s="86">
        <f ca="1">3.7*OFFSET(K$113,MATCH($N$1,$C$113:$C$114,0)-1,0)</f>
        <v>3.7</v>
      </c>
      <c r="L31" s="86">
        <f ca="1">2.4*OFFSET(L$113,MATCH($N$1,$C$113:$C$114,0)-1,0)</f>
        <v>2.4</v>
      </c>
      <c r="M31" s="86">
        <f ca="1">2.9*OFFSET(M$113,MATCH($N$1,$C$113:$C$114,0)-1,0)</f>
        <v>2.9</v>
      </c>
      <c r="N31" s="86">
        <v>4.6000000000000005</v>
      </c>
      <c r="O31" s="84">
        <f t="shared" ca="1" si="0"/>
        <v>-0.26984126984126972</v>
      </c>
      <c r="P31" s="84">
        <f t="shared" ca="1" si="1"/>
        <v>1.9308226515220116E-16</v>
      </c>
    </row>
    <row r="32" spans="1:16" s="78" customFormat="1" ht="18" customHeight="1">
      <c r="A32" s="192"/>
      <c r="B32" s="85" t="s">
        <v>213</v>
      </c>
      <c r="C32" s="86"/>
      <c r="D32" s="86">
        <f ca="1">11.4*OFFSET(D$113,MATCH($N$1,$C$113:$C$114,0)-1,0)</f>
        <v>11.4</v>
      </c>
      <c r="E32" s="86">
        <f ca="1">8.2*OFFSET(E$113,MATCH($N$1,$C$113:$C$114,0)-1,0)</f>
        <v>8.1999999999999993</v>
      </c>
      <c r="F32" s="86">
        <f ca="1">13.7*OFFSET(F$113,MATCH($N$1,$C$113:$C$114,0)-1,0)</f>
        <v>13.7</v>
      </c>
      <c r="G32" s="86">
        <f ca="1">13.1*OFFSET(G$113,MATCH($N$1,$C$113:$C$114,0)-1,0)</f>
        <v>13.1</v>
      </c>
      <c r="H32" s="86">
        <f ca="1">16.3*OFFSET(H$113,MATCH($N$1,$C$113:$C$114,0)-1,0)</f>
        <v>16.3</v>
      </c>
      <c r="I32" s="86">
        <f ca="1">16.2*OFFSET(I$113,MATCH($N$1,$C$113:$C$114,0)-1,0)</f>
        <v>16.2</v>
      </c>
      <c r="J32" s="86">
        <f ca="1">16.9*OFFSET(J$113,MATCH($N$1,$C$113:$C$114,0)-1,0)</f>
        <v>16.899999999999999</v>
      </c>
      <c r="K32" s="86">
        <f ca="1">13.6*OFFSET(K$113,MATCH($N$1,$C$113:$C$114,0)-1,0)</f>
        <v>13.6</v>
      </c>
      <c r="L32" s="86">
        <f ca="1">14.3*OFFSET(L$113,MATCH($N$1,$C$113:$C$114,0)-1,0)</f>
        <v>14.3</v>
      </c>
      <c r="M32" s="86">
        <f ca="1">12*OFFSET(M$113,MATCH($N$1,$C$113:$C$114,0)-1,0)</f>
        <v>12</v>
      </c>
      <c r="N32" s="86">
        <v>11.700000000000001</v>
      </c>
      <c r="O32" s="84">
        <f t="shared" ca="1" si="0"/>
        <v>2.6315789473684272E-2</v>
      </c>
      <c r="P32" s="84">
        <f t="shared" ca="1" si="1"/>
        <v>-0.3076923076923076</v>
      </c>
    </row>
    <row r="33" spans="1:16" s="78" customFormat="1" ht="18" customHeight="1">
      <c r="A33" s="192"/>
      <c r="B33" s="85" t="s">
        <v>214</v>
      </c>
      <c r="C33" s="86"/>
      <c r="D33" s="86">
        <f ca="1">8.7*OFFSET(D$113,MATCH($N$1,$C$113:$C$114,0)-1,0)</f>
        <v>8.6999999999999993</v>
      </c>
      <c r="E33" s="86">
        <f ca="1">11.7*OFFSET(E$113,MATCH($N$1,$C$113:$C$114,0)-1,0)</f>
        <v>11.7</v>
      </c>
      <c r="F33" s="86">
        <f ca="1">7.6*OFFSET(F$113,MATCH($N$1,$C$113:$C$114,0)-1,0)</f>
        <v>7.6</v>
      </c>
      <c r="G33" s="86">
        <f ca="1">7.6*OFFSET(G$113,MATCH($N$1,$C$113:$C$114,0)-1,0)</f>
        <v>7.6</v>
      </c>
      <c r="H33" s="86">
        <f ca="1">6.7*OFFSET(H$113,MATCH($N$1,$C$113:$C$114,0)-1,0)</f>
        <v>6.7</v>
      </c>
      <c r="I33" s="86">
        <f ca="1">6.2*OFFSET(I$113,MATCH($N$1,$C$113:$C$114,0)-1,0)</f>
        <v>6.2</v>
      </c>
      <c r="J33" s="86">
        <f ca="1">8.1*OFFSET(J$113,MATCH($N$1,$C$113:$C$114,0)-1,0)</f>
        <v>8.1</v>
      </c>
      <c r="K33" s="86">
        <f ca="1">8*OFFSET(K$113,MATCH($N$1,$C$113:$C$114,0)-1,0)</f>
        <v>8</v>
      </c>
      <c r="L33" s="86">
        <f ca="1">5.5*OFFSET(L$113,MATCH($N$1,$C$113:$C$114,0)-1,0)</f>
        <v>5.5</v>
      </c>
      <c r="M33" s="86">
        <f ca="1">4.2*OFFSET(M$113,MATCH($N$1,$C$113:$C$114,0)-1,0)</f>
        <v>4.2</v>
      </c>
      <c r="N33" s="86">
        <v>4.3</v>
      </c>
      <c r="O33" s="84">
        <f t="shared" ca="1" si="0"/>
        <v>-0.50574712643678155</v>
      </c>
      <c r="P33" s="84">
        <f t="shared" ca="1" si="1"/>
        <v>-0.46913580246913578</v>
      </c>
    </row>
    <row r="34" spans="1:16" s="78" customFormat="1" ht="18" customHeight="1">
      <c r="A34" s="192"/>
      <c r="B34" s="85" t="s">
        <v>215</v>
      </c>
      <c r="C34" s="86"/>
      <c r="D34" s="86">
        <f ca="1">26.4*OFFSET(D$113,MATCH($N$1,$C$113:$C$114,0)-1,0)</f>
        <v>26.4</v>
      </c>
      <c r="E34" s="86">
        <f ca="1">25.7*OFFSET(E$113,MATCH($N$1,$C$113:$C$114,0)-1,0)</f>
        <v>25.7</v>
      </c>
      <c r="F34" s="86">
        <f ca="1">26.8*OFFSET(F$113,MATCH($N$1,$C$113:$C$114,0)-1,0)</f>
        <v>26.8</v>
      </c>
      <c r="G34" s="86">
        <f ca="1">24.4*OFFSET(G$113,MATCH($N$1,$C$113:$C$114,0)-1,0)</f>
        <v>24.4</v>
      </c>
      <c r="H34" s="86">
        <f ca="1">26.6*OFFSET(H$113,MATCH($N$1,$C$113:$C$114,0)-1,0)</f>
        <v>26.6</v>
      </c>
      <c r="I34" s="86">
        <f ca="1">26.6*OFFSET(I$113,MATCH($N$1,$C$113:$C$114,0)-1,0)</f>
        <v>26.6</v>
      </c>
      <c r="J34" s="86">
        <f ca="1">29.5*OFFSET(J$113,MATCH($N$1,$C$113:$C$114,0)-1,0)</f>
        <v>29.5</v>
      </c>
      <c r="K34" s="86">
        <f ca="1">25.2*OFFSET(K$113,MATCH($N$1,$C$113:$C$114,0)-1,0)</f>
        <v>25.2</v>
      </c>
      <c r="L34" s="86">
        <f ca="1">22.2*OFFSET(L$113,MATCH($N$1,$C$113:$C$114,0)-1,0)</f>
        <v>22.2</v>
      </c>
      <c r="M34" s="86">
        <f ca="1">19.1*OFFSET(M$113,MATCH($N$1,$C$113:$C$114,0)-1,0)</f>
        <v>19.100000000000001</v>
      </c>
      <c r="N34" s="86">
        <v>20.5</v>
      </c>
      <c r="O34" s="84">
        <f t="shared" ca="1" si="0"/>
        <v>-0.22348484848484845</v>
      </c>
      <c r="P34" s="84">
        <f t="shared" ca="1" si="1"/>
        <v>-0.30508474576271188</v>
      </c>
    </row>
    <row r="35" spans="1:16" s="78" customFormat="1" ht="18" customHeight="1">
      <c r="A35" s="192"/>
      <c r="B35" s="85" t="s">
        <v>216</v>
      </c>
      <c r="C35" s="86"/>
      <c r="D35" s="86">
        <f ca="1">9.2*OFFSET(D$113,MATCH($N$1,$C$113:$C$114,0)-1,0)</f>
        <v>9.1999999999999993</v>
      </c>
      <c r="E35" s="86">
        <f ca="1">9.8*OFFSET(E$113,MATCH($N$1,$C$113:$C$114,0)-1,0)</f>
        <v>9.8000000000000007</v>
      </c>
      <c r="F35" s="86">
        <f ca="1">11.7*OFFSET(F$113,MATCH($N$1,$C$113:$C$114,0)-1,0)</f>
        <v>11.7</v>
      </c>
      <c r="G35" s="86">
        <f ca="1">10.5*OFFSET(G$113,MATCH($N$1,$C$113:$C$114,0)-1,0)</f>
        <v>10.5</v>
      </c>
      <c r="H35" s="86">
        <f ca="1">8.9*OFFSET(H$113,MATCH($N$1,$C$113:$C$114,0)-1,0)</f>
        <v>8.9</v>
      </c>
      <c r="I35" s="86">
        <f ca="1">6.2*OFFSET(I$113,MATCH($N$1,$C$113:$C$114,0)-1,0)</f>
        <v>6.2</v>
      </c>
      <c r="J35" s="86">
        <f ca="1">7.8*OFFSET(J$113,MATCH($N$1,$C$113:$C$114,0)-1,0)</f>
        <v>7.8</v>
      </c>
      <c r="K35" s="86">
        <f ca="1">7.8*OFFSET(K$113,MATCH($N$1,$C$113:$C$114,0)-1,0)</f>
        <v>7.8</v>
      </c>
      <c r="L35" s="86">
        <f ca="1">7.8*OFFSET(L$113,MATCH($N$1,$C$113:$C$114,0)-1,0)</f>
        <v>7.8</v>
      </c>
      <c r="M35" s="86">
        <f ca="1">9.1*OFFSET(M$113,MATCH($N$1,$C$113:$C$114,0)-1,0)</f>
        <v>9.1</v>
      </c>
      <c r="N35" s="86">
        <v>9.3000000000000007</v>
      </c>
      <c r="O35" s="84">
        <f t="shared" ca="1" si="0"/>
        <v>1.086956521739146E-2</v>
      </c>
      <c r="P35" s="84">
        <f t="shared" ca="1" si="1"/>
        <v>0.19230769230769243</v>
      </c>
    </row>
    <row r="36" spans="1:16" s="78" customFormat="1" ht="18" customHeight="1">
      <c r="A36" s="192"/>
      <c r="B36" s="85" t="s">
        <v>217</v>
      </c>
      <c r="C36" s="86"/>
      <c r="D36" s="86">
        <f ca="1">35.6*OFFSET(D$113,MATCH($N$1,$C$113:$C$114,0)-1,0)</f>
        <v>35.6</v>
      </c>
      <c r="E36" s="86">
        <f ca="1">35.5*OFFSET(E$113,MATCH($N$1,$C$113:$C$114,0)-1,0)</f>
        <v>35.5</v>
      </c>
      <c r="F36" s="86">
        <f ca="1">38.5*OFFSET(F$113,MATCH($N$1,$C$113:$C$114,0)-1,0)</f>
        <v>38.5</v>
      </c>
      <c r="G36" s="86">
        <f ca="1">34.9*OFFSET(G$113,MATCH($N$1,$C$113:$C$114,0)-1,0)</f>
        <v>34.9</v>
      </c>
      <c r="H36" s="86">
        <f ca="1">35.5*OFFSET(H$113,MATCH($N$1,$C$113:$C$114,0)-1,0)</f>
        <v>35.5</v>
      </c>
      <c r="I36" s="86">
        <f ca="1">32.8*OFFSET(I$113,MATCH($N$1,$C$113:$C$114,0)-1,0)</f>
        <v>32.799999999999997</v>
      </c>
      <c r="J36" s="86">
        <f ca="1">37.3*OFFSET(J$113,MATCH($N$1,$C$113:$C$114,0)-1,0)</f>
        <v>37.299999999999997</v>
      </c>
      <c r="K36" s="86">
        <f ca="1">33*OFFSET(K$113,MATCH($N$1,$C$113:$C$114,0)-1,0)</f>
        <v>33</v>
      </c>
      <c r="L36" s="86">
        <f ca="1">30*OFFSET(L$113,MATCH($N$1,$C$113:$C$114,0)-1,0)</f>
        <v>30</v>
      </c>
      <c r="M36" s="86">
        <f ca="1">28.2*OFFSET(M$113,MATCH($N$1,$C$113:$C$114,0)-1,0)</f>
        <v>28.2</v>
      </c>
      <c r="N36" s="86">
        <v>29.8</v>
      </c>
      <c r="O36" s="84">
        <f t="shared" ca="1" si="0"/>
        <v>-0.16292134831460675</v>
      </c>
      <c r="P36" s="84">
        <f t="shared" ca="1" si="1"/>
        <v>-0.20107238605898115</v>
      </c>
    </row>
    <row r="37" spans="1:16" s="78" customFormat="1" ht="18" customHeight="1">
      <c r="A37" s="192"/>
      <c r="B37" s="87" t="s">
        <v>218</v>
      </c>
      <c r="C37" s="88"/>
      <c r="D37" s="88">
        <f ca="1">29.6*OFFSET(D$113,MATCH($N$1,$C$113:$C$114,0)-1,0)</f>
        <v>29.6</v>
      </c>
      <c r="E37" s="88">
        <f ca="1">23.6*OFFSET(E$113,MATCH($N$1,$C$113:$C$114,0)-1,0)</f>
        <v>23.6</v>
      </c>
      <c r="F37" s="88">
        <f ca="1">34*OFFSET(F$113,MATCH($N$1,$C$113:$C$114,0)-1,0)</f>
        <v>34</v>
      </c>
      <c r="G37" s="88">
        <f ca="1">25.2*OFFSET(G$113,MATCH($N$1,$C$113:$C$114,0)-1,0)</f>
        <v>25.2</v>
      </c>
      <c r="H37" s="88">
        <f ca="1">31.9*OFFSET(H$113,MATCH($N$1,$C$113:$C$114,0)-1,0)</f>
        <v>31.9</v>
      </c>
      <c r="I37" s="88">
        <f ca="1">35.1*OFFSET(I$113,MATCH($N$1,$C$113:$C$114,0)-1,0)</f>
        <v>35.1</v>
      </c>
      <c r="J37" s="88">
        <f ca="1">32.2*OFFSET(J$113,MATCH($N$1,$C$113:$C$114,0)-1,0)</f>
        <v>32.200000000000003</v>
      </c>
      <c r="K37" s="88">
        <f ca="1">26.9*OFFSET(K$113,MATCH($N$1,$C$113:$C$114,0)-1,0)</f>
        <v>26.9</v>
      </c>
      <c r="L37" s="88">
        <f ca="1">36.6*OFFSET(L$113,MATCH($N$1,$C$113:$C$114,0)-1,0)</f>
        <v>36.6</v>
      </c>
      <c r="M37" s="88">
        <f ca="1">26*OFFSET(M$113,MATCH($N$1,$C$113:$C$114,0)-1,0)</f>
        <v>26</v>
      </c>
      <c r="N37" s="88">
        <v>24.5</v>
      </c>
      <c r="O37" s="84">
        <f t="shared" ca="1" si="0"/>
        <v>-0.17229729729729734</v>
      </c>
      <c r="P37" s="84">
        <f t="shared" ca="1" si="1"/>
        <v>-0.23913043478260876</v>
      </c>
    </row>
    <row r="38" spans="1:16" s="78" customFormat="1" ht="18" customHeight="1">
      <c r="A38" s="192"/>
      <c r="B38" s="87" t="s">
        <v>219</v>
      </c>
      <c r="C38" s="88"/>
      <c r="D38" s="88">
        <f ca="1">18.2*OFFSET(D$113,MATCH($N$1,$C$113:$C$114,0)-1,0)</f>
        <v>18.2</v>
      </c>
      <c r="E38" s="88">
        <f ca="1">15.4*OFFSET(E$113,MATCH($N$1,$C$113:$C$114,0)-1,0)</f>
        <v>15.4</v>
      </c>
      <c r="F38" s="88">
        <f ca="1">20.3*OFFSET(F$113,MATCH($N$1,$C$113:$C$114,0)-1,0)</f>
        <v>20.3</v>
      </c>
      <c r="G38" s="88">
        <f ca="1">12.1*OFFSET(G$113,MATCH($N$1,$C$113:$C$114,0)-1,0)</f>
        <v>12.1</v>
      </c>
      <c r="H38" s="88">
        <f ca="1">15.6*OFFSET(H$113,MATCH($N$1,$C$113:$C$114,0)-1,0)</f>
        <v>15.6</v>
      </c>
      <c r="I38" s="88">
        <f ca="1">18.9*OFFSET(I$113,MATCH($N$1,$C$113:$C$114,0)-1,0)</f>
        <v>18.899999999999999</v>
      </c>
      <c r="J38" s="88">
        <f ca="1">15.3*OFFSET(J$113,MATCH($N$1,$C$113:$C$114,0)-1,0)</f>
        <v>15.3</v>
      </c>
      <c r="K38" s="88">
        <f ca="1">13.3*OFFSET(K$113,MATCH($N$1,$C$113:$C$114,0)-1,0)</f>
        <v>13.3</v>
      </c>
      <c r="L38" s="88">
        <f ca="1">22.3*OFFSET(L$113,MATCH($N$1,$C$113:$C$114,0)-1,0)</f>
        <v>22.3</v>
      </c>
      <c r="M38" s="88">
        <f ca="1">14*OFFSET(M$113,MATCH($N$1,$C$113:$C$114,0)-1,0)</f>
        <v>14</v>
      </c>
      <c r="N38" s="88">
        <v>12.8</v>
      </c>
      <c r="O38" s="84">
        <f t="shared" ca="1" si="0"/>
        <v>-0.29670329670329665</v>
      </c>
      <c r="P38" s="84">
        <f t="shared" ca="1" si="1"/>
        <v>-0.16339869281045752</v>
      </c>
    </row>
    <row r="39" spans="1:16" s="78" customFormat="1" ht="18" customHeight="1">
      <c r="A39" s="192"/>
      <c r="B39" s="85" t="s">
        <v>220</v>
      </c>
      <c r="C39" s="86"/>
      <c r="D39" s="86">
        <f ca="1">3*OFFSET(D$113,MATCH($N$1,$C$113:$C$114,0)-1,0)</f>
        <v>3</v>
      </c>
      <c r="E39" s="86">
        <f ca="1">4.7*OFFSET(E$113,MATCH($N$1,$C$113:$C$114,0)-1,0)</f>
        <v>4.7</v>
      </c>
      <c r="F39" s="86">
        <f ca="1">3.4*OFFSET(F$113,MATCH($N$1,$C$113:$C$114,0)-1,0)</f>
        <v>3.4</v>
      </c>
      <c r="G39" s="86">
        <f ca="1">2.5*OFFSET(G$113,MATCH($N$1,$C$113:$C$114,0)-1,0)</f>
        <v>2.5</v>
      </c>
      <c r="H39" s="86">
        <f ca="1">3.7*OFFSET(H$113,MATCH($N$1,$C$113:$C$114,0)-1,0)</f>
        <v>3.7</v>
      </c>
      <c r="I39" s="86">
        <f ca="1">2.9*OFFSET(I$113,MATCH($N$1,$C$113:$C$114,0)-1,0)</f>
        <v>2.9</v>
      </c>
      <c r="J39" s="86">
        <f ca="1">3.6*OFFSET(J$113,MATCH($N$1,$C$113:$C$114,0)-1,0)</f>
        <v>3.6</v>
      </c>
      <c r="K39" s="86">
        <f ca="1">4.6*OFFSET(K$113,MATCH($N$1,$C$113:$C$114,0)-1,0)</f>
        <v>4.5999999999999996</v>
      </c>
      <c r="L39" s="86">
        <f ca="1">4.4*OFFSET(L$113,MATCH($N$1,$C$113:$C$114,0)-1,0)</f>
        <v>4.4000000000000004</v>
      </c>
      <c r="M39" s="86">
        <f ca="1">3.3*OFFSET(M$113,MATCH($N$1,$C$113:$C$114,0)-1,0)</f>
        <v>3.3</v>
      </c>
      <c r="N39" s="86"/>
      <c r="O39" s="84" t="str">
        <f t="shared" si="0"/>
        <v/>
      </c>
      <c r="P39" s="84" t="str">
        <f t="shared" si="1"/>
        <v/>
      </c>
    </row>
    <row r="40" spans="1:16" s="78" customFormat="1" ht="18" customHeight="1">
      <c r="A40" s="192"/>
      <c r="B40" s="85" t="s">
        <v>221</v>
      </c>
      <c r="C40" s="86"/>
      <c r="D40" s="86">
        <f ca="1">0.4*OFFSET(D$113,MATCH($N$1,$C$113:$C$114,0)-1,0)</f>
        <v>0.4</v>
      </c>
      <c r="E40" s="86">
        <f ca="1">0.5*OFFSET(E$113,MATCH($N$1,$C$113:$C$114,0)-1,0)</f>
        <v>0.5</v>
      </c>
      <c r="F40" s="86">
        <f ca="1">0.4*OFFSET(F$113,MATCH($N$1,$C$113:$C$114,0)-1,0)</f>
        <v>0.4</v>
      </c>
      <c r="G40" s="86">
        <f ca="1">0.5*OFFSET(G$113,MATCH($N$1,$C$113:$C$114,0)-1,0)</f>
        <v>0.5</v>
      </c>
      <c r="H40" s="86">
        <f ca="1">0.3*OFFSET(H$113,MATCH($N$1,$C$113:$C$114,0)-1,0)</f>
        <v>0.3</v>
      </c>
      <c r="I40" s="86">
        <f ca="1">0.3*OFFSET(I$113,MATCH($N$1,$C$113:$C$114,0)-1,0)</f>
        <v>0.3</v>
      </c>
      <c r="J40" s="86">
        <f ca="1">0.4*OFFSET(J$113,MATCH($N$1,$C$113:$C$114,0)-1,0)</f>
        <v>0.4</v>
      </c>
      <c r="K40" s="86"/>
      <c r="L40" s="86"/>
      <c r="M40" s="86">
        <f ca="1">0.1*OFFSET(M$113,MATCH($N$1,$C$113:$C$114,0)-1,0)</f>
        <v>0.1</v>
      </c>
      <c r="N40" s="86"/>
      <c r="O40" s="84" t="str">
        <f t="shared" si="0"/>
        <v/>
      </c>
      <c r="P40" s="84" t="str">
        <f t="shared" si="1"/>
        <v/>
      </c>
    </row>
    <row r="41" spans="1:16" s="78" customFormat="1" ht="18" customHeight="1">
      <c r="A41" s="192"/>
      <c r="B41" s="85" t="s">
        <v>222</v>
      </c>
      <c r="C41" s="86"/>
      <c r="D41" s="86">
        <f ca="1">1.6*OFFSET(D$113,MATCH($N$1,$C$113:$C$114,0)-1,0)</f>
        <v>1.6</v>
      </c>
      <c r="E41" s="86">
        <f ca="1">0.3*OFFSET(E$113,MATCH($N$1,$C$113:$C$114,0)-1,0)</f>
        <v>0.3</v>
      </c>
      <c r="F41" s="86">
        <f ca="1">0.2*OFFSET(F$113,MATCH($N$1,$C$113:$C$114,0)-1,0)</f>
        <v>0.2</v>
      </c>
      <c r="G41" s="86">
        <f ca="1">0.3*OFFSET(G$113,MATCH($N$1,$C$113:$C$114,0)-1,0)</f>
        <v>0.3</v>
      </c>
      <c r="H41" s="86">
        <f ca="1">0.2*OFFSET(H$113,MATCH($N$1,$C$113:$C$114,0)-1,0)</f>
        <v>0.2</v>
      </c>
      <c r="I41" s="86">
        <f ca="1">0.2*OFFSET(I$113,MATCH($N$1,$C$113:$C$114,0)-1,0)</f>
        <v>0.2</v>
      </c>
      <c r="J41" s="86">
        <f ca="1">0.2*OFFSET(J$113,MATCH($N$1,$C$113:$C$114,0)-1,0)</f>
        <v>0.2</v>
      </c>
      <c r="K41" s="86"/>
      <c r="L41" s="86"/>
      <c r="M41" s="86"/>
      <c r="N41" s="86"/>
      <c r="O41" s="84" t="str">
        <f t="shared" si="0"/>
        <v/>
      </c>
      <c r="P41" s="84" t="str">
        <f t="shared" si="1"/>
        <v/>
      </c>
    </row>
    <row r="42" spans="1:16" s="78" customFormat="1" ht="18" customHeight="1" thickBot="1">
      <c r="A42" s="193"/>
      <c r="B42" s="89" t="s">
        <v>223</v>
      </c>
      <c r="C42" s="90"/>
      <c r="D42" s="90">
        <f ca="1">13.3*OFFSET(D$113,MATCH($N$1,$C$113:$C$114,0)-1,0)</f>
        <v>13.3</v>
      </c>
      <c r="E42" s="90">
        <f ca="1">9.9*OFFSET(E$113,MATCH($N$1,$C$113:$C$114,0)-1,0)</f>
        <v>9.9</v>
      </c>
      <c r="F42" s="90">
        <f ca="1">16.3*OFFSET(F$113,MATCH($N$1,$C$113:$C$114,0)-1,0)</f>
        <v>16.3</v>
      </c>
      <c r="G42" s="90">
        <f ca="1">8.8*OFFSET(G$113,MATCH($N$1,$C$113:$C$114,0)-1,0)</f>
        <v>8.8000000000000007</v>
      </c>
      <c r="H42" s="90">
        <f ca="1">11.4*OFFSET(H$113,MATCH($N$1,$C$113:$C$114,0)-1,0)</f>
        <v>11.4</v>
      </c>
      <c r="I42" s="90">
        <f ca="1">15.6*OFFSET(I$113,MATCH($N$1,$C$113:$C$114,0)-1,0)</f>
        <v>15.6</v>
      </c>
      <c r="J42" s="90">
        <f ca="1">11.2*OFFSET(J$113,MATCH($N$1,$C$113:$C$114,0)-1,0)</f>
        <v>11.2</v>
      </c>
      <c r="K42" s="90">
        <f ca="1">8.7*OFFSET(K$113,MATCH($N$1,$C$113:$C$114,0)-1,0)</f>
        <v>8.6999999999999993</v>
      </c>
      <c r="L42" s="90">
        <f ca="1">17.9*OFFSET(L$113,MATCH($N$1,$C$113:$C$114,0)-1,0)</f>
        <v>17.899999999999999</v>
      </c>
      <c r="M42" s="90">
        <f ca="1">10.7*OFFSET(M$113,MATCH($N$1,$C$113:$C$114,0)-1,0)</f>
        <v>10.7</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Under 10m drift and/or fixed nets</v>
      </c>
      <c r="C49" s="101"/>
      <c r="D49" s="101"/>
      <c r="E49" s="101"/>
      <c r="F49" s="101"/>
      <c r="G49" s="101"/>
      <c r="K49" s="101" t="str">
        <f>$B25&amp;CHAR(10)&amp;$A$1</f>
        <v>Operating profit per kW day at sea (£)
Under 10m drift and/or fixed nets</v>
      </c>
    </row>
    <row r="50" spans="1:11" s="78" customFormat="1">
      <c r="A50" s="101" t="str">
        <f>$B23&amp;CHAR(10)&amp;$A$1</f>
        <v>Fishing income per kW day at sea (£)
Under 10m drift and/or fixed nets</v>
      </c>
    </row>
    <row r="51" spans="1:11" s="78" customFormat="1">
      <c r="A51" s="101" t="str">
        <f>$B21&amp;CHAR(10)&amp;$A$1</f>
        <v>Average price per tonne landed (£)
Under 10m drift and/or fixed nets</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Under 10m drift and/or fixed nets</v>
      </c>
      <c r="F63" s="101" t="str">
        <f>$B21&amp;CHAR(10)&amp;$A$1</f>
        <v>Average price per tonne landed (£)
Under 10m drift and/or fixed nets</v>
      </c>
      <c r="K63" s="101" t="str">
        <f>"Average annual operating profit per vessel (£'000)"&amp;CHAR(10)&amp;$A$1</f>
        <v>Average annual operating profit per vessel (£'000)
Under 10m drift and/or fixed nets</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Under 10m drift and/or fixed nets</v>
      </c>
      <c r="F77" s="101" t="str">
        <f>"Top 5 landed species by value in "&amp;A78&amp;CHAR(10)&amp;A1</f>
        <v>Top 5 landed species by value in 2021
Under 10m drift and/or fixed nets</v>
      </c>
    </row>
    <row r="78" spans="1:11" s="101" customFormat="1">
      <c r="A78" s="101">
        <v>2021</v>
      </c>
      <c r="B78" s="101" t="s">
        <v>594</v>
      </c>
      <c r="C78" s="102">
        <v>0.11342607588651037</v>
      </c>
      <c r="D78" s="103">
        <v>3050596</v>
      </c>
      <c r="G78" s="101" t="s">
        <v>595</v>
      </c>
      <c r="H78" s="102">
        <v>0.26968000965077615</v>
      </c>
      <c r="I78" s="103">
        <v>12153634</v>
      </c>
      <c r="K78" s="101" t="s">
        <v>237</v>
      </c>
    </row>
    <row r="79" spans="1:11" s="101" customFormat="1">
      <c r="B79" s="101" t="s">
        <v>596</v>
      </c>
      <c r="C79" s="102">
        <v>9.7158845922266715E-2</v>
      </c>
      <c r="D79" s="103">
        <v>11115023</v>
      </c>
      <c r="G79" s="101" t="s">
        <v>597</v>
      </c>
      <c r="H79" s="102">
        <v>0.14621951123120736</v>
      </c>
      <c r="I79" s="103">
        <v>553960</v>
      </c>
    </row>
    <row r="80" spans="1:11" s="101" customFormat="1">
      <c r="B80" s="101" t="s">
        <v>381</v>
      </c>
      <c r="C80" s="102">
        <v>7.9097120016691502E-2</v>
      </c>
      <c r="D80" s="103">
        <v>12153634</v>
      </c>
      <c r="G80" s="101" t="s">
        <v>598</v>
      </c>
      <c r="H80" s="102">
        <v>8.899374850502377E-2</v>
      </c>
      <c r="I80" s="103">
        <v>3050596</v>
      </c>
    </row>
    <row r="81" spans="1:19" s="101" customFormat="1">
      <c r="B81" s="101" t="s">
        <v>599</v>
      </c>
      <c r="C81" s="102">
        <v>7.8676797395460907E-2</v>
      </c>
      <c r="D81" s="103">
        <v>2480382</v>
      </c>
      <c r="G81" s="101" t="s">
        <v>600</v>
      </c>
      <c r="H81" s="102">
        <v>5.8808133519420894E-2</v>
      </c>
      <c r="I81" s="103">
        <v>1692097</v>
      </c>
    </row>
    <row r="82" spans="1:19" s="101" customFormat="1">
      <c r="B82" s="101" t="s">
        <v>601</v>
      </c>
      <c r="C82" s="102">
        <v>6.356549107368703E-2</v>
      </c>
      <c r="D82" s="103">
        <v>7434864</v>
      </c>
      <c r="G82" s="101" t="s">
        <v>602</v>
      </c>
      <c r="H82" s="102">
        <v>4.7475723723986764E-2</v>
      </c>
      <c r="I82" s="103">
        <v>3689192</v>
      </c>
    </row>
    <row r="83" spans="1:19" s="101" customFormat="1">
      <c r="B83" s="101" t="s">
        <v>603</v>
      </c>
      <c r="C83" s="102">
        <v>0.56807566970538348</v>
      </c>
      <c r="D83" s="103">
        <v>5920853</v>
      </c>
      <c r="G83" s="101" t="s">
        <v>604</v>
      </c>
      <c r="H83" s="102">
        <v>0.38882287336958499</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175</v>
      </c>
      <c r="D93" s="107">
        <v>0.26850338874963342</v>
      </c>
      <c r="E93" s="107">
        <v>0.24134412512114328</v>
      </c>
      <c r="F93" s="107">
        <v>0.29624209935649259</v>
      </c>
      <c r="G93" s="107">
        <v>0.24285514658310189</v>
      </c>
      <c r="H93" s="107">
        <v>0.27416918130785034</v>
      </c>
      <c r="I93" s="107">
        <v>0.30225684874310094</v>
      </c>
      <c r="J93" s="107">
        <v>0.26289197604597442</v>
      </c>
      <c r="K93" s="107">
        <v>0.24197211043652589</v>
      </c>
      <c r="L93" s="107">
        <v>0.26968000965077615</v>
      </c>
      <c r="M93" s="107">
        <v>0.30840906670737805</v>
      </c>
      <c r="O93" s="101">
        <v>12153634</v>
      </c>
    </row>
    <row r="94" spans="1:19" s="101" customFormat="1" hidden="1">
      <c r="B94" s="101">
        <v>2</v>
      </c>
      <c r="C94" s="101" t="s">
        <v>177</v>
      </c>
      <c r="D94" s="107">
        <v>0.18301357471573879</v>
      </c>
      <c r="E94" s="107">
        <v>0.28009911143223593</v>
      </c>
      <c r="F94" s="107">
        <v>0.20195406641419714</v>
      </c>
      <c r="G94" s="107">
        <v>0.15137343915995949</v>
      </c>
      <c r="H94" s="107">
        <v>7.5581054239255652E-2</v>
      </c>
      <c r="I94" s="107">
        <v>9.941342908968516E-2</v>
      </c>
      <c r="J94" s="107">
        <v>0.11203896148603144</v>
      </c>
      <c r="K94" s="107">
        <v>0.12774652598979969</v>
      </c>
      <c r="L94" s="107">
        <v>0.14621951123120736</v>
      </c>
      <c r="M94" s="107">
        <v>0.12704779272230698</v>
      </c>
      <c r="O94" s="101">
        <v>553960</v>
      </c>
    </row>
    <row r="95" spans="1:19" s="101" customFormat="1" hidden="1">
      <c r="B95" s="101">
        <v>3</v>
      </c>
      <c r="C95" s="101" t="s">
        <v>248</v>
      </c>
      <c r="D95" s="107">
        <v>6.272873528434432E-2</v>
      </c>
      <c r="E95" s="107">
        <v>5.4047954552092971E-2</v>
      </c>
      <c r="F95" s="107">
        <v>5.0494417076834365E-2</v>
      </c>
      <c r="G95" s="107">
        <v>8.1391590058995406E-2</v>
      </c>
      <c r="H95" s="107">
        <v>0.11284949718281219</v>
      </c>
      <c r="I95" s="107">
        <v>9.4034473704803417E-2</v>
      </c>
      <c r="J95" s="107">
        <v>8.98727779616324E-2</v>
      </c>
      <c r="K95" s="107">
        <v>9.5036792884866841E-2</v>
      </c>
      <c r="L95" s="107">
        <v>8.899374850502377E-2</v>
      </c>
      <c r="M95" s="107">
        <v>7.305960595337746E-2</v>
      </c>
      <c r="O95" s="101">
        <v>3050596</v>
      </c>
    </row>
    <row r="96" spans="1:19" s="101" customFormat="1" hidden="1">
      <c r="B96" s="101">
        <v>4</v>
      </c>
      <c r="C96" s="101" t="s">
        <v>294</v>
      </c>
      <c r="D96" s="107"/>
      <c r="E96" s="107"/>
      <c r="F96" s="107"/>
      <c r="G96" s="107"/>
      <c r="H96" s="107">
        <v>7.2137095510464752E-2</v>
      </c>
      <c r="I96" s="107">
        <v>4.7775114974244359E-2</v>
      </c>
      <c r="J96" s="107">
        <v>5.634165654584631E-2</v>
      </c>
      <c r="K96" s="107"/>
      <c r="L96" s="107">
        <v>5.8808133519420894E-2</v>
      </c>
      <c r="M96" s="107">
        <v>5.0809119784945039E-2</v>
      </c>
      <c r="O96" s="101">
        <v>1692097</v>
      </c>
    </row>
    <row r="97" spans="1:15" s="101" customFormat="1" hidden="1">
      <c r="B97" s="101">
        <v>5</v>
      </c>
      <c r="C97" s="101" t="s">
        <v>161</v>
      </c>
      <c r="D97" s="107">
        <v>5.4930937106562022E-2</v>
      </c>
      <c r="E97" s="107"/>
      <c r="F97" s="107"/>
      <c r="G97" s="107">
        <v>5.8196876737570548E-2</v>
      </c>
      <c r="H97" s="107">
        <v>6.8218456614912937E-2</v>
      </c>
      <c r="I97" s="107"/>
      <c r="J97" s="107"/>
      <c r="K97" s="107"/>
      <c r="L97" s="107">
        <v>4.7475723723986764E-2</v>
      </c>
      <c r="M97" s="107"/>
      <c r="O97" s="101">
        <v>3689192</v>
      </c>
    </row>
    <row r="98" spans="1:15" s="101" customFormat="1" hidden="1">
      <c r="B98" s="101">
        <v>6</v>
      </c>
      <c r="C98" s="101" t="s">
        <v>166</v>
      </c>
      <c r="D98" s="107"/>
      <c r="E98" s="107">
        <v>3.7629696669099592E-2</v>
      </c>
      <c r="F98" s="107"/>
      <c r="G98" s="107"/>
      <c r="H98" s="107"/>
      <c r="I98" s="107"/>
      <c r="J98" s="107"/>
      <c r="K98" s="107"/>
      <c r="L98" s="107"/>
      <c r="M98" s="107">
        <v>5.4860135090777362E-2</v>
      </c>
      <c r="O98" s="101">
        <v>11115023</v>
      </c>
    </row>
    <row r="99" spans="1:15" s="101" customFormat="1" hidden="1">
      <c r="B99" s="101">
        <v>7</v>
      </c>
      <c r="C99" s="101" t="s">
        <v>308</v>
      </c>
      <c r="D99" s="107"/>
      <c r="E99" s="107">
        <v>4.2213317283214077E-2</v>
      </c>
      <c r="F99" s="107">
        <v>5.4279128604824686E-2</v>
      </c>
      <c r="G99" s="107">
        <v>5.2888457899785579E-2</v>
      </c>
      <c r="H99" s="107"/>
      <c r="I99" s="107">
        <v>7.7119471138370768E-2</v>
      </c>
      <c r="J99" s="107">
        <v>8.4307305887467057E-2</v>
      </c>
      <c r="K99" s="107">
        <v>8.3547301464953441E-2</v>
      </c>
      <c r="L99" s="107"/>
      <c r="M99" s="107"/>
      <c r="O99" s="101">
        <v>2480382</v>
      </c>
    </row>
    <row r="100" spans="1:15" s="101" customFormat="1" hidden="1">
      <c r="B100" s="101">
        <v>8</v>
      </c>
      <c r="C100" s="101" t="s">
        <v>384</v>
      </c>
      <c r="D100" s="107"/>
      <c r="E100" s="107"/>
      <c r="F100" s="107"/>
      <c r="G100" s="107"/>
      <c r="H100" s="107"/>
      <c r="I100" s="107"/>
      <c r="J100" s="107"/>
      <c r="K100" s="107">
        <v>5.772328531618897E-2</v>
      </c>
      <c r="L100" s="107"/>
      <c r="M100" s="107"/>
      <c r="O100" s="101">
        <v>7434864</v>
      </c>
    </row>
    <row r="101" spans="1:15" s="101" customFormat="1" hidden="1">
      <c r="B101" s="101">
        <v>9</v>
      </c>
      <c r="C101" s="101" t="s">
        <v>168</v>
      </c>
      <c r="D101" s="107"/>
      <c r="E101" s="107"/>
      <c r="F101" s="107">
        <v>4.8004724102963497E-2</v>
      </c>
      <c r="G101" s="107"/>
      <c r="H101" s="107"/>
      <c r="I101" s="107"/>
      <c r="J101" s="107"/>
      <c r="K101" s="107"/>
      <c r="L101" s="107"/>
      <c r="M101" s="107"/>
      <c r="O101" s="101">
        <v>8497745</v>
      </c>
    </row>
    <row r="102" spans="1:15" s="101" customFormat="1" hidden="1">
      <c r="B102" s="101">
        <v>10</v>
      </c>
      <c r="C102" s="101" t="s">
        <v>174</v>
      </c>
      <c r="D102" s="107">
        <v>4.4650226931498373E-2</v>
      </c>
      <c r="E102" s="107"/>
      <c r="F102" s="107"/>
      <c r="G102" s="107"/>
      <c r="H102" s="107"/>
      <c r="I102" s="107"/>
      <c r="J102" s="107"/>
      <c r="K102" s="107"/>
      <c r="L102" s="107"/>
      <c r="M102" s="107"/>
      <c r="O102" s="101">
        <v>14393110</v>
      </c>
    </row>
    <row r="103" spans="1:15" s="101" customFormat="1" hidden="1">
      <c r="B103" s="101">
        <v>11</v>
      </c>
      <c r="C103" s="101" t="s">
        <v>251</v>
      </c>
      <c r="D103" s="107">
        <v>0.38617313721222302</v>
      </c>
      <c r="E103" s="107">
        <v>0.34466579494221417</v>
      </c>
      <c r="F103" s="107">
        <v>0.34902556444468774</v>
      </c>
      <c r="G103" s="107">
        <v>0.41329448956058706</v>
      </c>
      <c r="H103" s="107">
        <v>0.39704471514470413</v>
      </c>
      <c r="I103" s="107">
        <v>0.37940066234979536</v>
      </c>
      <c r="J103" s="107">
        <v>0.39454732207304838</v>
      </c>
      <c r="K103" s="107">
        <v>0.39397398390766519</v>
      </c>
      <c r="L103" s="107">
        <v>0.3888228733695851</v>
      </c>
      <c r="M103" s="107">
        <v>0.38581427974121513</v>
      </c>
      <c r="O103" s="101">
        <v>5920853</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12</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49</v>
      </c>
      <c r="D121" s="52">
        <v>99</v>
      </c>
      <c r="E121" s="52">
        <v>49</v>
      </c>
      <c r="F121" s="53">
        <v>197</v>
      </c>
    </row>
    <row r="122" spans="1:15" ht="18" customHeight="1">
      <c r="A122" s="186" t="s">
        <v>198</v>
      </c>
      <c r="B122" s="35" t="s">
        <v>199</v>
      </c>
      <c r="C122" s="54">
        <v>7.5559182167053223</v>
      </c>
      <c r="D122" s="54">
        <v>7.6052524730412649</v>
      </c>
      <c r="E122" s="54">
        <v>8.2251014709472656</v>
      </c>
      <c r="F122" s="55">
        <v>7.747157096862793</v>
      </c>
    </row>
    <row r="123" spans="1:15" ht="18" customHeight="1">
      <c r="A123" s="187"/>
      <c r="B123" s="37" t="s">
        <v>190</v>
      </c>
      <c r="C123" s="56">
        <v>65.346939086914063</v>
      </c>
      <c r="D123" s="56">
        <v>74.808081886985079</v>
      </c>
      <c r="E123" s="56">
        <v>82.367347717285156</v>
      </c>
      <c r="F123" s="57">
        <v>74.33502197265625</v>
      </c>
    </row>
    <row r="124" spans="1:15" ht="18" customHeight="1">
      <c r="A124" s="187"/>
      <c r="B124" s="37" t="s">
        <v>191</v>
      </c>
      <c r="C124" s="56">
        <v>4.3265304565429688</v>
      </c>
      <c r="D124" s="56">
        <v>4.4024241380017211</v>
      </c>
      <c r="E124" s="56">
        <v>5.6530613899230957</v>
      </c>
      <c r="F124" s="57">
        <v>4.6946191787719727</v>
      </c>
    </row>
    <row r="125" spans="1:15" ht="18" customHeight="1">
      <c r="A125" s="187"/>
      <c r="B125" s="37" t="s">
        <v>192</v>
      </c>
      <c r="C125" s="56">
        <v>53.628799438476563</v>
      </c>
      <c r="D125" s="56">
        <v>57.887709222658714</v>
      </c>
      <c r="E125" s="56">
        <v>65.447242736816406</v>
      </c>
      <c r="F125" s="57">
        <v>58.70867919921875</v>
      </c>
    </row>
    <row r="126" spans="1:15" ht="18" customHeight="1">
      <c r="A126" s="187"/>
      <c r="B126" s="37" t="s">
        <v>193</v>
      </c>
      <c r="C126" s="33">
        <v>14.03181266784668</v>
      </c>
      <c r="D126" s="33">
        <v>12.31018478701813</v>
      </c>
      <c r="E126" s="33">
        <v>10.242110252380371</v>
      </c>
      <c r="F126" s="58">
        <v>12.22401237487793</v>
      </c>
    </row>
    <row r="127" spans="1:15" ht="18" customHeight="1">
      <c r="A127" s="187"/>
      <c r="B127" s="37" t="s">
        <v>200</v>
      </c>
      <c r="C127" s="33">
        <f ca="1">62.874265625*OFFSET($L$113,MATCH($N$1,$C$113:$C$114,0)-1,0)</f>
        <v>62.874265625</v>
      </c>
      <c r="D127" s="33">
        <f ca="1">36.0634534801136*OFFSET($L$113,MATCH($N$1,$C$113:$C$114,0)-1,0)</f>
        <v>36.063453480113601</v>
      </c>
      <c r="E127" s="33">
        <f ca="1">29.779904296875*OFFSET($L$113,MATCH($N$1,$C$113:$C$114,0)-1,0)</f>
        <v>29.779904296874999</v>
      </c>
      <c r="F127" s="58">
        <f ca="1">41.16921875*OFFSET($L$113,MATCH($N$1,$C$113:$C$114,0)-1,0)</f>
        <v>41.169218749999999</v>
      </c>
    </row>
    <row r="128" spans="1:15" ht="18" customHeight="1">
      <c r="A128" s="187"/>
      <c r="B128" s="37" t="s">
        <v>195</v>
      </c>
      <c r="C128" s="56">
        <v>40.163265228271484</v>
      </c>
      <c r="D128" s="56">
        <v>56.242423818568987</v>
      </c>
      <c r="E128" s="56">
        <v>95.040817260742188</v>
      </c>
      <c r="F128" s="57">
        <v>61.893402099609375</v>
      </c>
    </row>
    <row r="129" spans="1:15" ht="18" customHeight="1">
      <c r="A129" s="187"/>
      <c r="B129" s="37" t="s">
        <v>201</v>
      </c>
      <c r="C129" s="56">
        <v>25.714284896850586</v>
      </c>
      <c r="D129" s="56">
        <v>23.616161519830879</v>
      </c>
      <c r="E129" s="56">
        <v>29.285715103149414</v>
      </c>
      <c r="F129" s="57">
        <v>25.548223495483398</v>
      </c>
    </row>
    <row r="130" spans="1:15" ht="18" customHeight="1">
      <c r="A130" s="187"/>
      <c r="B130" s="37" t="s">
        <v>202</v>
      </c>
      <c r="C130" s="59">
        <v>0.34936931729316711</v>
      </c>
      <c r="D130" s="59">
        <v>0.21887720960834198</v>
      </c>
      <c r="E130" s="59">
        <v>0.10776538401842117</v>
      </c>
      <c r="F130" s="60">
        <v>0.19750106334686279</v>
      </c>
    </row>
    <row r="131" spans="1:15" ht="18" customHeight="1">
      <c r="A131" s="188"/>
      <c r="B131" s="39" t="s">
        <v>203</v>
      </c>
      <c r="C131" s="40">
        <f ca="1">4480.83701752047*OFFSET($L$113,MATCH($N$1,$C$113:$C$114,0)-1,0)</f>
        <v>4480.83701752047</v>
      </c>
      <c r="D131" s="40">
        <f ca="1">2929.56231803643*OFFSET($L$113,MATCH($N$1,$C$113:$C$114,0)-1,0)</f>
        <v>2929.56231803643</v>
      </c>
      <c r="E131" s="40">
        <f ca="1">2907.59458383626*OFFSET($L$113,MATCH($N$1,$C$113:$C$114,0)-1,0)</f>
        <v>2907.59458383626</v>
      </c>
      <c r="F131" s="61">
        <f ca="1">3368*OFFSET($L$113,MATCH($N$1,$C$113:$C$114,0)-1,0)</f>
        <v>3368</v>
      </c>
    </row>
    <row r="132" spans="1:15" ht="18" customHeight="1">
      <c r="A132" s="198" t="s">
        <v>204</v>
      </c>
      <c r="B132" s="35" t="s">
        <v>205</v>
      </c>
      <c r="C132" s="62">
        <v>4.9106083057055763</v>
      </c>
      <c r="D132" s="62">
        <v>2.7134203697710886</v>
      </c>
      <c r="E132" s="62">
        <v>1.3919036461020466</v>
      </c>
      <c r="F132" s="63">
        <v>2.5356349098654043</v>
      </c>
    </row>
    <row r="133" spans="1:15" ht="18" customHeight="1">
      <c r="A133" s="199"/>
      <c r="B133" s="37" t="s">
        <v>206</v>
      </c>
      <c r="C133" s="59">
        <f ca="1">22.003635474749*OFFSET($L$113,MATCH($N$1,$C$113:$C$114,0)-1,0)</f>
        <v>22.003635474749</v>
      </c>
      <c r="D133" s="59">
        <f ca="1">7.94913406827386*OFFSET($L$113,MATCH($N$1,$C$113:$C$114,0)-1,0)</f>
        <v>7.9491340682738603</v>
      </c>
      <c r="E133" s="59">
        <f ca="1">4.04709150262825*OFFSET($L$113,MATCH($N$1,$C$113:$C$114,0)-1,0)</f>
        <v>4.0470915026282501</v>
      </c>
      <c r="F133" s="60">
        <f ca="1">8.53975806576585*OFFSET($L$113,MATCH($N$1,$C$113:$C$114,0)-1,0)</f>
        <v>8.5397580657658505</v>
      </c>
    </row>
    <row r="134" spans="1:15" ht="18" customHeight="1">
      <c r="A134" s="199"/>
      <c r="B134" s="37" t="s">
        <v>153</v>
      </c>
      <c r="C134" s="59">
        <f ca="1">13.1452950164263*OFFSET($L$113,MATCH($N$1,$C$113:$C$114,0)-1,0)</f>
        <v>13.145295016426299</v>
      </c>
      <c r="D134" s="59">
        <f ca="1">5.31974051210058*OFFSET($L$113,MATCH($N$1,$C$113:$C$114,0)-1,0)</f>
        <v>5.3197405121005801</v>
      </c>
      <c r="E134" s="59">
        <f ca="1">3.08595886036366*OFFSET($L$113,MATCH($N$1,$C$113:$C$114,0)-1,0)</f>
        <v>3.0859588603636601</v>
      </c>
      <c r="F134" s="60">
        <f ca="1">5.62539542734918*OFFSET($L$113,MATCH($N$1,$C$113:$C$114,0)-1,0)</f>
        <v>5.6253954273491802</v>
      </c>
    </row>
    <row r="135" spans="1:15" ht="18" customHeight="1">
      <c r="A135" s="200"/>
      <c r="B135" s="39" t="s">
        <v>154</v>
      </c>
      <c r="C135" s="64">
        <f ca="1">8.85834045832272*OFFSET($L$113,MATCH($N$1,$C$113:$C$114,0)-1,0)</f>
        <v>8.8583404583227203</v>
      </c>
      <c r="D135" s="64">
        <f ca="1">2.62939355617328*OFFSET($L$113,MATCH($N$1,$C$113:$C$114,0)-1,0)</f>
        <v>2.6293935561732802</v>
      </c>
      <c r="E135" s="64">
        <f ca="1">0.961132642264594*OFFSET($L$113,MATCH($N$1,$C$113:$C$114,0)-1,0)</f>
        <v>0.96113264226459405</v>
      </c>
      <c r="F135" s="65">
        <f ca="1">2.91436263841666*OFFSET($L$113,MATCH($N$1,$C$113:$C$114,0)-1,0)</f>
        <v>2.9143626384166601</v>
      </c>
    </row>
    <row r="136" spans="1:15" ht="18" customHeight="1">
      <c r="A136" s="201" t="s">
        <v>260</v>
      </c>
      <c r="B136" s="37" t="s">
        <v>261</v>
      </c>
      <c r="C136" s="66">
        <f ca="1">1.57702368164063*OFFSET($L$113,MATCH($N$1,$C$113:$C$114,0)-1,0)</f>
        <v>1.57702368164063</v>
      </c>
      <c r="D136" s="66">
        <f ca="1">2.56680493780579*OFFSET($L$113,MATCH($N$1,$C$113:$C$114,0)-1,0)</f>
        <v>2.5668049378057902</v>
      </c>
      <c r="E136" s="66">
        <f ca="1">4.89774462890625*OFFSET($L$113,MATCH($N$1,$C$113:$C$114,0)-1,0)</f>
        <v>4.8977446289062501</v>
      </c>
      <c r="F136" s="67">
        <f ca="1">2.900392578125*OFFSET($L$113,MATCH($N$1,$C$113:$C$114,0)-1,0)</f>
        <v>2.900392578125</v>
      </c>
    </row>
    <row r="137" spans="1:15" ht="18" customHeight="1">
      <c r="A137" s="202"/>
      <c r="B137" s="37" t="s">
        <v>262</v>
      </c>
      <c r="C137" s="31">
        <v>3330.6121263366367</v>
      </c>
      <c r="D137" s="31">
        <v>5362.5251562380345</v>
      </c>
      <c r="E137" s="31">
        <v>10260.612345288391</v>
      </c>
      <c r="F137" s="68">
        <v>6075.4314720812181</v>
      </c>
    </row>
    <row r="138" spans="1:15" ht="18" customHeight="1">
      <c r="A138" s="202"/>
      <c r="B138" s="37" t="s">
        <v>263</v>
      </c>
      <c r="C138" s="31">
        <v>82.926826477050781</v>
      </c>
      <c r="D138" s="31">
        <v>95.346622569768144</v>
      </c>
      <c r="E138" s="31">
        <v>107.96006011962891</v>
      </c>
      <c r="F138" s="68">
        <v>98.159599304199219</v>
      </c>
    </row>
    <row r="139" spans="1:15" ht="18" customHeight="1">
      <c r="A139" s="202"/>
      <c r="B139" s="37" t="s">
        <v>264</v>
      </c>
      <c r="C139" s="31">
        <f ca="1">39.265325482813*OFFSET($L$113,MATCH($N$1,$C$113:$C$114,0)-1,0)</f>
        <v>39.265325482812997</v>
      </c>
      <c r="D139" s="31">
        <f ca="1">45.6382346907022*OFFSET($L$113,MATCH($N$1,$C$113:$C$114,0)-1,0)</f>
        <v>45.638234690702198</v>
      </c>
      <c r="E139" s="31">
        <f ca="1">51.5330651615653*OFFSET($L$113,MATCH($N$1,$C$113:$C$114,0)-1,0)</f>
        <v>51.533065161565297</v>
      </c>
      <c r="F139" s="68">
        <f ca="1">46.8610947166419*OFFSET($L$113,MATCH($N$1,$C$113:$C$114,0)-1,0)</f>
        <v>46.861094716641901</v>
      </c>
      <c r="I139" s="43"/>
      <c r="L139" s="69" t="str">
        <f>C120</f>
        <v>Most
profitable
quartile</v>
      </c>
      <c r="M139" s="69" t="str">
        <f>D120</f>
        <v>Middle
two quartiles</v>
      </c>
      <c r="N139" s="69" t="str">
        <f>E120</f>
        <v>Least
profitable
quartile</v>
      </c>
      <c r="O139" s="69"/>
    </row>
    <row r="140" spans="1:15" ht="18" customHeight="1">
      <c r="A140" s="202"/>
      <c r="B140" s="37" t="s">
        <v>265</v>
      </c>
      <c r="C140" s="31">
        <f ca="1">112.389163037667*OFFSET($L$113,MATCH($N$1,$C$113:$C$114,0)-1,0)</f>
        <v>112.389163037667</v>
      </c>
      <c r="D140" s="31">
        <f ca="1">208.51067487733*OFFSET($L$113,MATCH($N$1,$C$113:$C$114,0)-1,0)</f>
        <v>208.51067487732999</v>
      </c>
      <c r="E140" s="31">
        <f ca="1">478.196827432898*OFFSET($L$113,MATCH($N$1,$C$113:$C$114,0)-1,0)</f>
        <v>478.19682743289798</v>
      </c>
      <c r="F140" s="68">
        <f ca="1">237.270095053709*OFFSET($L$113,MATCH($N$1,$C$113:$C$114,0)-1,0)</f>
        <v>237.27009505370901</v>
      </c>
      <c r="I140" s="43"/>
      <c r="K140" s="69" t="s">
        <v>266</v>
      </c>
      <c r="L140" s="70">
        <f t="shared" ref="L140:M142" ca="1" si="2">C141</f>
        <v>65.5984921875</v>
      </c>
      <c r="M140" s="70">
        <f t="shared" ca="1" si="2"/>
        <v>36.698627604166703</v>
      </c>
      <c r="N140" s="70">
        <f ca="1">E141</f>
        <v>30.304408203125</v>
      </c>
      <c r="O140" s="70"/>
    </row>
    <row r="141" spans="1:15" ht="18" customHeight="1">
      <c r="A141" s="179" t="s">
        <v>267</v>
      </c>
      <c r="B141" s="35" t="s">
        <v>268</v>
      </c>
      <c r="C141" s="71">
        <f ca="1">65.5984921875*OFFSET($L$113,MATCH($N$1,$C$113:$C$114,0)-1,0)</f>
        <v>65.5984921875</v>
      </c>
      <c r="D141" s="71">
        <f ca="1">36.6986276041667*OFFSET($L$113,MATCH($N$1,$C$113:$C$114,0)-1,0)</f>
        <v>36.698627604166703</v>
      </c>
      <c r="E141" s="71">
        <f ca="1">30.304408203125*OFFSET($L$113,MATCH($N$1,$C$113:$C$114,0)-1,0)</f>
        <v>30.304408203125</v>
      </c>
      <c r="F141" s="72">
        <f ca="1">42.2964765625*OFFSET($L$113,MATCH($N$1,$C$113:$C$114,0)-1,0)</f>
        <v>42.296476562499997</v>
      </c>
      <c r="I141" s="43"/>
      <c r="K141" s="69" t="s">
        <v>269</v>
      </c>
      <c r="L141" s="70">
        <f t="shared" ca="1" si="2"/>
        <v>40.286234374999999</v>
      </c>
      <c r="M141" s="70">
        <f t="shared" ca="1" si="2"/>
        <v>24.769653783933101</v>
      </c>
      <c r="N141" s="70">
        <f ca="1">E142</f>
        <v>23.232060546875001</v>
      </c>
      <c r="O141" s="70"/>
    </row>
    <row r="142" spans="1:15" ht="18" customHeight="1">
      <c r="A142" s="180"/>
      <c r="B142" s="37" t="s">
        <v>270</v>
      </c>
      <c r="C142" s="31">
        <f ca="1">40.286234375*OFFSET($L$113,MATCH($N$1,$C$113:$C$114,0)-1,0)</f>
        <v>40.286234374999999</v>
      </c>
      <c r="D142" s="31">
        <f ca="1">24.7696537839331*OFFSET($L$113,MATCH($N$1,$C$113:$C$114,0)-1,0)</f>
        <v>24.769653783933101</v>
      </c>
      <c r="E142" s="31">
        <f ca="1">23.232060546875*OFFSET($L$113,MATCH($N$1,$C$113:$C$114,0)-1,0)</f>
        <v>23.232060546875001</v>
      </c>
      <c r="F142" s="68">
        <f ca="1">28.24666015625*OFFSET($L$113,MATCH($N$1,$C$113:$C$114,0)-1,0)</f>
        <v>28.246660156250002</v>
      </c>
      <c r="I142" s="43"/>
      <c r="K142" s="69" t="s">
        <v>271</v>
      </c>
      <c r="L142" s="70">
        <f t="shared" ca="1" si="2"/>
        <v>25.3122578125</v>
      </c>
      <c r="M142" s="70">
        <f t="shared" ca="1" si="2"/>
        <v>11.928973820233599</v>
      </c>
      <c r="N142" s="70">
        <f ca="1">E143</f>
        <v>7.0723476562499998</v>
      </c>
      <c r="O142" s="70"/>
    </row>
    <row r="143" spans="1:15" ht="18" customHeight="1">
      <c r="A143" s="181"/>
      <c r="B143" s="39" t="s">
        <v>272</v>
      </c>
      <c r="C143" s="40">
        <f ca="1">25.3122578125*OFFSET($L$113,MATCH($N$1,$C$113:$C$114,0)-1,0)</f>
        <v>25.3122578125</v>
      </c>
      <c r="D143" s="40">
        <f ca="1">11.9289738202336*OFFSET($L$113,MATCH($N$1,$C$113:$C$114,0)-1,0)</f>
        <v>11.928973820233599</v>
      </c>
      <c r="E143" s="40">
        <f ca="1">7.07234765625*OFFSET($L$113,MATCH($N$1,$C$113:$C$114,0)-1,0)</f>
        <v>7.0723476562499998</v>
      </c>
      <c r="F143" s="61">
        <f ca="1">14.04981640625*OFFSET($L$113,MATCH($N$1,$C$113:$C$114,0)-1,0)</f>
        <v>14.049816406250001</v>
      </c>
      <c r="I143" s="43"/>
      <c r="K143" s="69" t="s">
        <v>273</v>
      </c>
      <c r="L143" s="73">
        <f ca="1">IFERROR(L141/L$140,"")</f>
        <v>0.6141335422748736</v>
      </c>
      <c r="M143" s="73">
        <f t="shared" ref="M143:N144" ca="1" si="3">IFERROR(M141/M$140,"")</f>
        <v>0.67494768608515476</v>
      </c>
      <c r="N143" s="73">
        <f t="shared" ca="1" si="3"/>
        <v>0.76662313915370583</v>
      </c>
      <c r="O143" s="73"/>
    </row>
    <row r="144" spans="1:15" ht="18" customHeight="1">
      <c r="I144" s="43"/>
      <c r="K144" s="69" t="s">
        <v>274</v>
      </c>
      <c r="L144" s="73">
        <f ca="1">IFERROR(L142/L$140,"")</f>
        <v>0.38586645772512634</v>
      </c>
      <c r="M144" s="73">
        <f t="shared" ca="1" si="3"/>
        <v>0.32505231391484524</v>
      </c>
      <c r="N144" s="73">
        <f t="shared" ca="1" si="3"/>
        <v>0.23337686084629422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12</v>
      </c>
      <c r="B162" s="48"/>
      <c r="C162" s="74" t="s">
        <v>255</v>
      </c>
      <c r="D162" s="74" t="s">
        <v>276</v>
      </c>
      <c r="E162" s="74" t="s">
        <v>257</v>
      </c>
      <c r="F162" s="74" t="s">
        <v>277</v>
      </c>
      <c r="G162" s="75">
        <v>11</v>
      </c>
      <c r="H162" s="74"/>
      <c r="I162" s="74" t="s">
        <v>255</v>
      </c>
      <c r="J162" s="74" t="s">
        <v>276</v>
      </c>
      <c r="K162" s="74" t="s">
        <v>257</v>
      </c>
      <c r="L162" s="48" t="s">
        <v>277</v>
      </c>
      <c r="R162" s="21"/>
      <c r="S162" s="21"/>
    </row>
    <row r="163" spans="1:19" s="43" customFormat="1">
      <c r="A163" s="44">
        <v>1</v>
      </c>
      <c r="B163" s="48" t="s">
        <v>351</v>
      </c>
      <c r="C163" s="48">
        <v>0</v>
      </c>
      <c r="D163" s="48">
        <v>0.19734885023787016</v>
      </c>
      <c r="E163" s="48">
        <v>0</v>
      </c>
      <c r="F163" s="44">
        <v>2480382</v>
      </c>
      <c r="G163" s="44">
        <v>1</v>
      </c>
      <c r="H163" s="48" t="s">
        <v>175</v>
      </c>
      <c r="I163" s="48">
        <v>0.25975224698773552</v>
      </c>
      <c r="J163" s="48">
        <v>0.32252785788691229</v>
      </c>
      <c r="K163" s="48">
        <v>0.31851702797581771</v>
      </c>
      <c r="L163" s="44">
        <v>12153634</v>
      </c>
      <c r="R163" s="21"/>
      <c r="S163" s="21"/>
    </row>
    <row r="164" spans="1:19" s="43" customFormat="1">
      <c r="A164" s="44">
        <v>2</v>
      </c>
      <c r="B164" s="48" t="s">
        <v>176</v>
      </c>
      <c r="C164" s="48">
        <v>0</v>
      </c>
      <c r="D164" s="48">
        <v>0.10901526763587659</v>
      </c>
      <c r="E164" s="48">
        <v>0</v>
      </c>
      <c r="F164" s="44">
        <v>8497745</v>
      </c>
      <c r="G164" s="44">
        <v>2</v>
      </c>
      <c r="H164" s="48" t="s">
        <v>177</v>
      </c>
      <c r="I164" s="48">
        <v>0.13173952415546458</v>
      </c>
      <c r="J164" s="48">
        <v>0.20129730889240738</v>
      </c>
      <c r="K164" s="48">
        <v>0.14013129857400425</v>
      </c>
      <c r="L164" s="44">
        <v>553960</v>
      </c>
      <c r="N164" s="43" t="s">
        <v>278</v>
      </c>
      <c r="R164" s="21"/>
      <c r="S164" s="21"/>
    </row>
    <row r="165" spans="1:19" s="43" customFormat="1">
      <c r="A165" s="44">
        <v>3</v>
      </c>
      <c r="B165" s="48" t="s">
        <v>308</v>
      </c>
      <c r="C165" s="48">
        <v>7.9694857852617887E-2</v>
      </c>
      <c r="D165" s="48">
        <v>9.3933659342381029E-2</v>
      </c>
      <c r="E165" s="48">
        <v>0.17782986197678816</v>
      </c>
      <c r="F165" s="44">
        <v>11115023</v>
      </c>
      <c r="G165" s="44">
        <v>3</v>
      </c>
      <c r="H165" s="48" t="s">
        <v>248</v>
      </c>
      <c r="I165" s="48">
        <v>0.13337823030736343</v>
      </c>
      <c r="J165" s="48">
        <v>8.0268637544367236E-2</v>
      </c>
      <c r="K165" s="48">
        <v>5.5750665402867834E-2</v>
      </c>
      <c r="L165" s="44">
        <v>3050596</v>
      </c>
      <c r="N165" s="43" t="s">
        <v>279</v>
      </c>
      <c r="R165" s="21"/>
      <c r="S165" s="21"/>
    </row>
    <row r="166" spans="1:19" s="43" customFormat="1">
      <c r="A166" s="44">
        <v>4</v>
      </c>
      <c r="B166" s="48" t="s">
        <v>248</v>
      </c>
      <c r="C166" s="48">
        <v>0.23350760228861825</v>
      </c>
      <c r="D166" s="48">
        <v>8.9095547597796379E-2</v>
      </c>
      <c r="E166" s="48">
        <v>0</v>
      </c>
      <c r="F166" s="44">
        <v>3050596</v>
      </c>
      <c r="G166" s="44">
        <v>4</v>
      </c>
      <c r="H166" s="48" t="s">
        <v>161</v>
      </c>
      <c r="I166" s="48">
        <v>0</v>
      </c>
      <c r="J166" s="48">
        <v>7.1503202770641261E-2</v>
      </c>
      <c r="K166" s="48">
        <v>0</v>
      </c>
      <c r="L166" s="44">
        <v>3689192</v>
      </c>
      <c r="R166" s="21"/>
      <c r="S166" s="21"/>
    </row>
    <row r="167" spans="1:19" s="43" customFormat="1">
      <c r="A167" s="44">
        <v>5</v>
      </c>
      <c r="B167" s="48" t="s">
        <v>175</v>
      </c>
      <c r="C167" s="48">
        <v>7.2154559007428606E-2</v>
      </c>
      <c r="D167" s="48">
        <v>8.5557027038995148E-2</v>
      </c>
      <c r="E167" s="48">
        <v>0.11747280034247366</v>
      </c>
      <c r="F167" s="44">
        <v>12153634</v>
      </c>
      <c r="G167" s="44">
        <v>5</v>
      </c>
      <c r="H167" s="48" t="s">
        <v>166</v>
      </c>
      <c r="I167" s="48">
        <v>0</v>
      </c>
      <c r="J167" s="48">
        <v>6.4362434660496973E-2</v>
      </c>
      <c r="K167" s="48">
        <v>0</v>
      </c>
      <c r="L167" s="44">
        <v>14393110</v>
      </c>
      <c r="R167" s="21"/>
      <c r="S167" s="21"/>
    </row>
    <row r="168" spans="1:19" s="43" customFormat="1">
      <c r="A168" s="44">
        <v>6</v>
      </c>
      <c r="B168" s="48" t="s">
        <v>250</v>
      </c>
      <c r="C168" s="48">
        <v>0</v>
      </c>
      <c r="D168" s="48">
        <v>0</v>
      </c>
      <c r="E168" s="48">
        <v>0.12046983258194253</v>
      </c>
      <c r="F168" s="44">
        <v>2887140</v>
      </c>
      <c r="G168" s="44">
        <v>6</v>
      </c>
      <c r="H168" s="48" t="s">
        <v>308</v>
      </c>
      <c r="I168" s="48">
        <v>0</v>
      </c>
      <c r="J168" s="48">
        <v>0</v>
      </c>
      <c r="K168" s="48">
        <v>7.5959756877465048E-2</v>
      </c>
      <c r="L168" s="44">
        <v>11115023</v>
      </c>
      <c r="R168" s="21"/>
      <c r="S168" s="21"/>
    </row>
    <row r="169" spans="1:19" s="43" customFormat="1">
      <c r="A169" s="44">
        <v>7</v>
      </c>
      <c r="B169" s="48" t="s">
        <v>169</v>
      </c>
      <c r="C169" s="48">
        <v>0</v>
      </c>
      <c r="D169" s="48">
        <v>0</v>
      </c>
      <c r="E169" s="48">
        <v>0.1033946668482815</v>
      </c>
      <c r="F169" s="44">
        <v>15057844</v>
      </c>
      <c r="G169" s="44">
        <v>7</v>
      </c>
      <c r="H169" s="48" t="s">
        <v>250</v>
      </c>
      <c r="I169" s="48">
        <v>0</v>
      </c>
      <c r="J169" s="48">
        <v>0</v>
      </c>
      <c r="K169" s="48">
        <v>5.2095394501124742E-2</v>
      </c>
      <c r="L169" s="44">
        <v>2887140</v>
      </c>
      <c r="R169" s="21"/>
      <c r="S169" s="21"/>
    </row>
    <row r="170" spans="1:19" s="43" customFormat="1">
      <c r="A170" s="44">
        <v>8</v>
      </c>
      <c r="B170" s="48" t="s">
        <v>280</v>
      </c>
      <c r="C170" s="48">
        <v>0</v>
      </c>
      <c r="D170" s="48">
        <v>0</v>
      </c>
      <c r="E170" s="48">
        <v>6.210156347863735E-2</v>
      </c>
      <c r="F170" s="44">
        <v>10603512</v>
      </c>
      <c r="G170" s="44">
        <v>8</v>
      </c>
      <c r="H170" s="48" t="s">
        <v>294</v>
      </c>
      <c r="I170" s="48">
        <v>0.10273340194160616</v>
      </c>
      <c r="J170" s="48">
        <v>0</v>
      </c>
      <c r="K170" s="48">
        <v>0</v>
      </c>
      <c r="L170" s="44">
        <v>1692097</v>
      </c>
      <c r="R170" s="21"/>
      <c r="S170" s="21"/>
    </row>
    <row r="171" spans="1:19" s="43" customFormat="1">
      <c r="A171" s="44">
        <v>9</v>
      </c>
      <c r="B171" s="48" t="s">
        <v>384</v>
      </c>
      <c r="C171" s="48">
        <v>0.1481633361778463</v>
      </c>
      <c r="D171" s="48">
        <v>0</v>
      </c>
      <c r="E171" s="48">
        <v>0</v>
      </c>
      <c r="F171" s="44">
        <v>7434864</v>
      </c>
      <c r="G171" s="44">
        <v>9</v>
      </c>
      <c r="H171" s="48" t="s">
        <v>355</v>
      </c>
      <c r="I171" s="48">
        <v>7.0564927556673665E-2</v>
      </c>
      <c r="J171" s="48">
        <v>0</v>
      </c>
      <c r="K171" s="48">
        <v>0</v>
      </c>
      <c r="L171" s="44">
        <v>10931653</v>
      </c>
      <c r="R171" s="21"/>
      <c r="S171" s="21"/>
    </row>
    <row r="172" spans="1:19" s="43" customFormat="1">
      <c r="A172" s="44">
        <v>10</v>
      </c>
      <c r="B172" s="48" t="s">
        <v>177</v>
      </c>
      <c r="C172" s="48">
        <v>6.9134742164710175E-2</v>
      </c>
      <c r="D172" s="48">
        <v>0</v>
      </c>
      <c r="E172" s="48">
        <v>0</v>
      </c>
      <c r="F172" s="44">
        <v>553960</v>
      </c>
      <c r="G172" s="44">
        <v>10</v>
      </c>
      <c r="H172" s="48" t="s">
        <v>251</v>
      </c>
      <c r="I172" s="48">
        <v>0.30183166905115655</v>
      </c>
      <c r="J172" s="48">
        <v>0.26004055824517491</v>
      </c>
      <c r="K172" s="48">
        <v>0.3575458566687203</v>
      </c>
      <c r="L172" s="44">
        <v>5920853</v>
      </c>
      <c r="R172" s="21"/>
      <c r="S172" s="21"/>
    </row>
    <row r="173" spans="1:19" s="43" customFormat="1">
      <c r="A173" s="44">
        <v>11</v>
      </c>
      <c r="B173" s="48" t="s">
        <v>251</v>
      </c>
      <c r="C173" s="48">
        <v>0.39734490250877885</v>
      </c>
      <c r="D173" s="48">
        <v>0.42504964814708068</v>
      </c>
      <c r="E173" s="48">
        <v>0.41873127477187677</v>
      </c>
      <c r="F173" s="44">
        <v>5920853</v>
      </c>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E9275A87-0EF4-4F1F-8B17-C78FD1E0B85C}">
      <formula1>$C$113:$C$114</formula1>
    </dataValidation>
  </dataValidations>
  <hyperlinks>
    <hyperlink ref="O1:P1" location="Home_page" display="Back to home page" xr:uid="{F566D914-BE68-481D-8A4D-FDC12A88484B}"/>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96702A24-3AE4-47D7-8A5E-D2176A566617}">
          <x14:colorSeries rgb="FF323232"/>
          <x14:colorNegative rgb="FFD00000"/>
          <x14:colorAxis rgb="FF000000"/>
          <x14:colorMarkers rgb="FFD00000"/>
          <x14:colorFirst rgb="FFD00000"/>
          <x14:colorLast rgb="FFD00000"/>
          <x14:colorHigh rgb="FFD00000"/>
          <x14:colorLow rgb="FFD00000"/>
          <x14:sparklines>
            <x14:sparkline>
              <xm:f>'U10m drift-fixed nets'!D3:N3</xm:f>
              <xm:sqref>C3</xm:sqref>
            </x14:sparkline>
            <x14:sparkline>
              <xm:f>'U10m drift-fixed nets'!D4:N4</xm:f>
              <xm:sqref>C4</xm:sqref>
            </x14:sparkline>
            <x14:sparkline>
              <xm:f>'U10m drift-fixed nets'!D5:N5</xm:f>
              <xm:sqref>C5</xm:sqref>
            </x14:sparkline>
            <x14:sparkline>
              <xm:f>'U10m drift-fixed nets'!D6:N6</xm:f>
              <xm:sqref>C6</xm:sqref>
            </x14:sparkline>
            <x14:sparkline>
              <xm:f>'U10m drift-fixed nets'!D7:N7</xm:f>
              <xm:sqref>C7</xm:sqref>
            </x14:sparkline>
            <x14:sparkline>
              <xm:f>'U10m drift-fixed nets'!D8:N8</xm:f>
              <xm:sqref>C8</xm:sqref>
            </x14:sparkline>
            <x14:sparkline>
              <xm:f>'U10m drift-fixed nets'!D9:N9</xm:f>
              <xm:sqref>C9</xm:sqref>
            </x14:sparkline>
            <x14:sparkline>
              <xm:f>'U10m drift-fixed nets'!D10:N10</xm:f>
              <xm:sqref>C10</xm:sqref>
            </x14:sparkline>
            <x14:sparkline>
              <xm:f>'U10m drift-fixed nets'!D11:N11</xm:f>
              <xm:sqref>C11</xm:sqref>
            </x14:sparkline>
            <x14:sparkline>
              <xm:f>'U10m drift-fixed nets'!D12:N12</xm:f>
              <xm:sqref>C12</xm:sqref>
            </x14:sparkline>
            <x14:sparkline>
              <xm:f>'U10m drift-fixed nets'!D13:N13</xm:f>
              <xm:sqref>C13</xm:sqref>
            </x14:sparkline>
            <x14:sparkline>
              <xm:f>'U10m drift-fixed nets'!D14:N14</xm:f>
              <xm:sqref>C14</xm:sqref>
            </x14:sparkline>
            <x14:sparkline>
              <xm:f>'U10m drift-fixed nets'!D15:N15</xm:f>
              <xm:sqref>C15</xm:sqref>
            </x14:sparkline>
            <x14:sparkline>
              <xm:f>'U10m drift-fixed nets'!D16:N16</xm:f>
              <xm:sqref>C16</xm:sqref>
            </x14:sparkline>
            <x14:sparkline>
              <xm:f>'U10m drift-fixed nets'!D17:N17</xm:f>
              <xm:sqref>C17</xm:sqref>
            </x14:sparkline>
            <x14:sparkline>
              <xm:f>'U10m drift-fixed nets'!D18:N18</xm:f>
              <xm:sqref>C18</xm:sqref>
            </x14:sparkline>
            <x14:sparkline>
              <xm:f>'U10m drift-fixed nets'!D19:N19</xm:f>
              <xm:sqref>C19</xm:sqref>
            </x14:sparkline>
            <x14:sparkline>
              <xm:f>'U10m drift-fixed nets'!D20:N20</xm:f>
              <xm:sqref>C20</xm:sqref>
            </x14:sparkline>
            <x14:sparkline>
              <xm:f>'U10m drift-fixed nets'!D21:N21</xm:f>
              <xm:sqref>C21</xm:sqref>
            </x14:sparkline>
            <x14:sparkline>
              <xm:f>'U10m drift-fixed nets'!D22:N22</xm:f>
              <xm:sqref>C22</xm:sqref>
            </x14:sparkline>
            <x14:sparkline>
              <xm:f>'U10m drift-fixed nets'!D23:N23</xm:f>
              <xm:sqref>C23</xm:sqref>
            </x14:sparkline>
            <x14:sparkline>
              <xm:f>'U10m drift-fixed nets'!D24:N24</xm:f>
              <xm:sqref>C24</xm:sqref>
            </x14:sparkline>
            <x14:sparkline>
              <xm:f>'U10m drift-fixed nets'!D25:N25</xm:f>
              <xm:sqref>C25</xm:sqref>
            </x14:sparkline>
            <x14:sparkline>
              <xm:f>'U10m drift-fixed nets'!D26:N26</xm:f>
              <xm:sqref>C26</xm:sqref>
            </x14:sparkline>
            <x14:sparkline>
              <xm:f>'U10m drift-fixed nets'!D27:N27</xm:f>
              <xm:sqref>C27</xm:sqref>
            </x14:sparkline>
            <x14:sparkline>
              <xm:f>'U10m drift-fixed nets'!D28:N28</xm:f>
              <xm:sqref>C28</xm:sqref>
            </x14:sparkline>
            <x14:sparkline>
              <xm:f>'U10m drift-fixed nets'!D29:N29</xm:f>
              <xm:sqref>C29</xm:sqref>
            </x14:sparkline>
            <x14:sparkline>
              <xm:f>'U10m drift-fixed nets'!D30:N30</xm:f>
              <xm:sqref>C30</xm:sqref>
            </x14:sparkline>
            <x14:sparkline>
              <xm:f>'U10m drift-fixed nets'!D31:N31</xm:f>
              <xm:sqref>C31</xm:sqref>
            </x14:sparkline>
            <x14:sparkline>
              <xm:f>'U10m drift-fixed nets'!D32:N32</xm:f>
              <xm:sqref>C32</xm:sqref>
            </x14:sparkline>
            <x14:sparkline>
              <xm:f>'U10m drift-fixed nets'!D33:N33</xm:f>
              <xm:sqref>C33</xm:sqref>
            </x14:sparkline>
            <x14:sparkline>
              <xm:f>'U10m drift-fixed nets'!D34:N34</xm:f>
              <xm:sqref>C34</xm:sqref>
            </x14:sparkline>
            <x14:sparkline>
              <xm:f>'U10m drift-fixed nets'!D35:N35</xm:f>
              <xm:sqref>C35</xm:sqref>
            </x14:sparkline>
            <x14:sparkline>
              <xm:f>'U10m drift-fixed nets'!D36:N36</xm:f>
              <xm:sqref>C36</xm:sqref>
            </x14:sparkline>
            <x14:sparkline>
              <xm:f>'U10m drift-fixed nets'!D37:N37</xm:f>
              <xm:sqref>C37</xm:sqref>
            </x14:sparkline>
            <x14:sparkline>
              <xm:f>'U10m drift-fixed nets'!D38:N38</xm:f>
              <xm:sqref>C38</xm:sqref>
            </x14:sparkline>
            <x14:sparkline>
              <xm:f>'U10m drift-fixed nets'!D39:N39</xm:f>
              <xm:sqref>C39</xm:sqref>
            </x14:sparkline>
            <x14:sparkline>
              <xm:f>'U10m drift-fixed nets'!D40:N40</xm:f>
              <xm:sqref>C40</xm:sqref>
            </x14:sparkline>
            <x14:sparkline>
              <xm:f>'U10m drift-fixed nets'!D41:N41</xm:f>
              <xm:sqref>C41</xm:sqref>
            </x14:sparkline>
            <x14:sparkline>
              <xm:f>'U10m drift-fixed nets'!D42:N42</xm:f>
              <xm:sqref>C42</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46216-5AB9-4B3A-80F7-ADEBD7ACC62A}">
  <sheetPr codeName="Feuil35">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36</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1079</v>
      </c>
      <c r="E3" s="28">
        <v>1001</v>
      </c>
      <c r="F3" s="28">
        <v>1042</v>
      </c>
      <c r="G3" s="28">
        <v>1011</v>
      </c>
      <c r="H3" s="28">
        <v>1086</v>
      </c>
      <c r="I3" s="28">
        <v>1106</v>
      </c>
      <c r="J3" s="28">
        <v>1201</v>
      </c>
      <c r="K3" s="28">
        <v>1221</v>
      </c>
      <c r="L3" s="28">
        <v>1087</v>
      </c>
      <c r="M3" s="28">
        <v>1167</v>
      </c>
      <c r="N3" s="28">
        <v>1066</v>
      </c>
      <c r="O3" s="29">
        <f t="shared" ref="O3:O42" si="0">IF(N3=0,"",IFERROR(IF(AND(N3&gt;0,D3&lt;0),"na",IF(AND(N3&lt;0,D3&lt;0),-1,1)*(N3-D3)/D3),""))</f>
        <v>-1.2048192771084338E-2</v>
      </c>
      <c r="P3" s="29">
        <f t="shared" ref="P3:P42" si="1">IF(N3=0,"",IFERROR(IF(AND(N3&gt;0,J3&lt;0),"na",IF(AND(N3&lt;0,J3&lt;0),-1,1)*(N3-J3)/J3),""))</f>
        <v>-0.11240632805995004</v>
      </c>
    </row>
    <row r="4" spans="1:17" ht="18" customHeight="1">
      <c r="A4" s="185"/>
      <c r="B4" s="30" t="s">
        <v>190</v>
      </c>
      <c r="C4" s="31"/>
      <c r="D4" s="31">
        <v>81949</v>
      </c>
      <c r="E4" s="31">
        <v>79574</v>
      </c>
      <c r="F4" s="31">
        <v>81486</v>
      </c>
      <c r="G4" s="31">
        <v>79609</v>
      </c>
      <c r="H4" s="31">
        <v>84527</v>
      </c>
      <c r="I4" s="31">
        <v>86084</v>
      </c>
      <c r="J4" s="31">
        <v>92541</v>
      </c>
      <c r="K4" s="31">
        <v>94409</v>
      </c>
      <c r="L4" s="31">
        <v>88642</v>
      </c>
      <c r="M4" s="31">
        <v>91415</v>
      </c>
      <c r="N4" s="31">
        <v>85190</v>
      </c>
      <c r="O4" s="29">
        <f t="shared" si="0"/>
        <v>3.9548987785085844E-2</v>
      </c>
      <c r="P4" s="29">
        <f t="shared" si="1"/>
        <v>-7.9435061216109618E-2</v>
      </c>
    </row>
    <row r="5" spans="1:17" ht="18" customHeight="1">
      <c r="A5" s="185"/>
      <c r="B5" s="30" t="s">
        <v>191</v>
      </c>
      <c r="C5" s="31"/>
      <c r="D5" s="31">
        <v>4729.68017578125</v>
      </c>
      <c r="E5" s="31">
        <v>4653.35986328125</v>
      </c>
      <c r="F5" s="31">
        <v>4687.240234375</v>
      </c>
      <c r="G5" s="31">
        <v>4585.5400390625</v>
      </c>
      <c r="H5" s="31">
        <v>4874.75</v>
      </c>
      <c r="I5" s="31">
        <v>4895.81982421875</v>
      </c>
      <c r="J5" s="31">
        <v>5350.009765625</v>
      </c>
      <c r="K5" s="31">
        <v>5542.56005859375</v>
      </c>
      <c r="L5" s="31">
        <v>5158.31005859375</v>
      </c>
      <c r="M5" s="31">
        <v>5211.16015625</v>
      </c>
      <c r="N5" s="31">
        <v>4821.2900390625</v>
      </c>
      <c r="O5" s="29">
        <f t="shared" si="0"/>
        <v>1.9369145455193037E-2</v>
      </c>
      <c r="P5" s="29">
        <f t="shared" si="1"/>
        <v>-9.8825936722516203E-2</v>
      </c>
      <c r="Q5" s="32"/>
    </row>
    <row r="6" spans="1:17" ht="18" customHeight="1">
      <c r="A6" s="185"/>
      <c r="B6" s="30" t="s">
        <v>192</v>
      </c>
      <c r="C6" s="31"/>
      <c r="D6" s="31">
        <v>63786.16796875</v>
      </c>
      <c r="E6" s="31">
        <v>61858.66796875</v>
      </c>
      <c r="F6" s="31">
        <v>63153.390625</v>
      </c>
      <c r="G6" s="31">
        <v>61891.3203125</v>
      </c>
      <c r="H6" s="31">
        <v>65755.6171875</v>
      </c>
      <c r="I6" s="31">
        <v>67395.1953125</v>
      </c>
      <c r="J6" s="31">
        <v>72774.1328125</v>
      </c>
      <c r="K6" s="31">
        <v>74567</v>
      </c>
      <c r="L6" s="31">
        <v>68949.890625</v>
      </c>
      <c r="M6" s="31">
        <v>71378.5625</v>
      </c>
      <c r="N6" s="31">
        <v>66317.6796875</v>
      </c>
      <c r="O6" s="29">
        <f t="shared" si="0"/>
        <v>3.9687471427821676E-2</v>
      </c>
      <c r="P6" s="29">
        <f t="shared" si="1"/>
        <v>-8.8719066452290468E-2</v>
      </c>
    </row>
    <row r="7" spans="1:17" ht="18" customHeight="1">
      <c r="A7" s="185"/>
      <c r="B7" s="30" t="s">
        <v>193</v>
      </c>
      <c r="C7" s="31"/>
      <c r="D7" s="31">
        <v>25606.71875</v>
      </c>
      <c r="E7" s="31">
        <v>26620.455078125</v>
      </c>
      <c r="F7" s="31">
        <v>26474.5546875</v>
      </c>
      <c r="G7" s="31">
        <v>24564.638671875</v>
      </c>
      <c r="H7" s="31">
        <v>27282.943359375</v>
      </c>
      <c r="I7" s="31">
        <v>24806.58203125</v>
      </c>
      <c r="J7" s="31">
        <v>23294.025390625</v>
      </c>
      <c r="K7" s="31">
        <v>25540.634765625</v>
      </c>
      <c r="L7" s="31">
        <v>21336.763671875</v>
      </c>
      <c r="M7" s="31">
        <v>21700.359375</v>
      </c>
      <c r="N7" s="31">
        <v>18358.26171875</v>
      </c>
      <c r="O7" s="29">
        <f t="shared" si="0"/>
        <v>-0.28306856110761947</v>
      </c>
      <c r="P7" s="29">
        <f t="shared" si="1"/>
        <v>-0.21188968368951233</v>
      </c>
    </row>
    <row r="8" spans="1:17" ht="18" customHeight="1">
      <c r="A8" s="185"/>
      <c r="B8" s="30" t="s">
        <v>194</v>
      </c>
      <c r="C8" s="33"/>
      <c r="D8" s="33">
        <f ca="1">66.88626*OFFSET(D$113,MATCH($N$1,$C$113:$C$114,0)-1,0)</f>
        <v>66.886259999999993</v>
      </c>
      <c r="E8" s="33">
        <f ca="1">64.09374*OFFSET(E$113,MATCH($N$1,$C$113:$C$114,0)-1,0)</f>
        <v>64.093739999999997</v>
      </c>
      <c r="F8" s="33">
        <f ca="1">68.302672*OFFSET(F$113,MATCH($N$1,$C$113:$C$114,0)-1,0)</f>
        <v>68.302672000000001</v>
      </c>
      <c r="G8" s="33">
        <f ca="1">63.36878*OFFSET(G$113,MATCH($N$1,$C$113:$C$114,0)-1,0)</f>
        <v>63.368780000000001</v>
      </c>
      <c r="H8" s="33">
        <f ca="1">79.084152*OFFSET(H$113,MATCH($N$1,$C$113:$C$114,0)-1,0)</f>
        <v>79.084152000000003</v>
      </c>
      <c r="I8" s="33">
        <f ca="1">76.632392*OFFSET(I$113,MATCH($N$1,$C$113:$C$114,0)-1,0)</f>
        <v>76.632391999999996</v>
      </c>
      <c r="J8" s="33">
        <f ca="1">92.052376*OFFSET(J$113,MATCH($N$1,$C$113:$C$114,0)-1,0)</f>
        <v>92.052375999999995</v>
      </c>
      <c r="K8" s="33">
        <f ca="1">97.823608*OFFSET(K$113,MATCH($N$1,$C$113:$C$114,0)-1,0)</f>
        <v>97.823607999999993</v>
      </c>
      <c r="L8" s="33">
        <f ca="1">68.087232*OFFSET(L$113,MATCH($N$1,$C$113:$C$114,0)-1,0)</f>
        <v>68.087232</v>
      </c>
      <c r="M8" s="33">
        <f ca="1">83.408472*OFFSET(M$113,MATCH($N$1,$C$113:$C$114,0)-1,0)</f>
        <v>83.408472000000003</v>
      </c>
      <c r="N8" s="33">
        <v>77.492503999999997</v>
      </c>
      <c r="O8" s="29">
        <f t="shared" ca="1" si="0"/>
        <v>0.15857134185705712</v>
      </c>
      <c r="P8" s="29">
        <f t="shared" ca="1" si="1"/>
        <v>-0.15816943171570064</v>
      </c>
    </row>
    <row r="9" spans="1:17" ht="18" customHeight="1">
      <c r="A9" s="185"/>
      <c r="B9" s="30" t="s">
        <v>195</v>
      </c>
      <c r="C9" s="31"/>
      <c r="D9" s="31">
        <v>118076</v>
      </c>
      <c r="E9" s="31">
        <v>111625</v>
      </c>
      <c r="F9" s="31">
        <v>131284</v>
      </c>
      <c r="G9" s="31">
        <v>137167</v>
      </c>
      <c r="H9" s="31">
        <v>135732</v>
      </c>
      <c r="I9" s="31">
        <v>97333</v>
      </c>
      <c r="J9" s="31">
        <v>101086</v>
      </c>
      <c r="K9" s="31">
        <v>104788</v>
      </c>
      <c r="L9" s="31">
        <v>83228</v>
      </c>
      <c r="M9" s="31">
        <v>91636</v>
      </c>
      <c r="N9" s="31">
        <v>81097</v>
      </c>
      <c r="O9" s="29">
        <f t="shared" si="0"/>
        <v>-0.31317964700701245</v>
      </c>
      <c r="P9" s="29">
        <f t="shared" si="1"/>
        <v>-0.19774251627327227</v>
      </c>
    </row>
    <row r="10" spans="1:17" ht="18" customHeight="1">
      <c r="A10" s="185"/>
      <c r="B10" s="30" t="s">
        <v>196</v>
      </c>
      <c r="C10" s="31"/>
      <c r="D10" s="31">
        <v>16384.439999999999</v>
      </c>
      <c r="E10" s="31">
        <v>15829.92</v>
      </c>
      <c r="F10" s="31">
        <v>18202</v>
      </c>
      <c r="G10" s="31">
        <v>19024.52</v>
      </c>
      <c r="H10" s="31">
        <v>18894.64</v>
      </c>
      <c r="I10" s="31">
        <v>13815.44</v>
      </c>
      <c r="J10" s="31">
        <v>14325.48</v>
      </c>
      <c r="K10" s="31">
        <v>14925.32</v>
      </c>
      <c r="L10" s="31">
        <v>12086.68</v>
      </c>
      <c r="M10" s="31">
        <v>13038.880000000001</v>
      </c>
      <c r="N10" s="31">
        <v>11676.6</v>
      </c>
      <c r="O10" s="29">
        <f t="shared" si="0"/>
        <v>-0.28733603345613268</v>
      </c>
      <c r="P10" s="29">
        <f t="shared" si="1"/>
        <v>-0.18490689317216591</v>
      </c>
    </row>
    <row r="11" spans="1:17" ht="18" customHeight="1">
      <c r="A11" s="185"/>
      <c r="B11" s="30" t="s">
        <v>197</v>
      </c>
      <c r="C11" s="31"/>
      <c r="D11" s="31">
        <v>958.29986572265625</v>
      </c>
      <c r="E11" s="31">
        <v>894.91888427734375</v>
      </c>
      <c r="F11" s="31">
        <v>996.84161376953125</v>
      </c>
      <c r="G11" s="31">
        <v>1080.8065185546875</v>
      </c>
      <c r="H11" s="31">
        <v>1130.5655517578125</v>
      </c>
      <c r="I11" s="31">
        <v>695.42474365234375</v>
      </c>
      <c r="J11" s="31">
        <v>870.44921875</v>
      </c>
      <c r="K11" s="31">
        <v>670.4573974609375</v>
      </c>
      <c r="L11" s="31">
        <v>628.2947998046875</v>
      </c>
      <c r="M11" s="31">
        <v>707.40032958984375</v>
      </c>
      <c r="N11" s="31">
        <v>631.81329345703125</v>
      </c>
      <c r="O11" s="34">
        <f t="shared" si="0"/>
        <v>-0.34069353857147905</v>
      </c>
      <c r="P11" s="34">
        <f t="shared" si="1"/>
        <v>-0.27415261011510761</v>
      </c>
    </row>
    <row r="12" spans="1:17" ht="18" customHeight="1">
      <c r="A12" s="186" t="s">
        <v>198</v>
      </c>
      <c r="B12" s="35" t="s">
        <v>199</v>
      </c>
      <c r="C12" s="36"/>
      <c r="D12" s="36">
        <v>7.965458869934082</v>
      </c>
      <c r="E12" s="36">
        <v>8.0795803070068359</v>
      </c>
      <c r="F12" s="36">
        <v>7.9956908226013184</v>
      </c>
      <c r="G12" s="36">
        <v>8.0191001892089844</v>
      </c>
      <c r="H12" s="36">
        <v>7.969355583190918</v>
      </c>
      <c r="I12" s="36">
        <v>7.9466638565063477</v>
      </c>
      <c r="J12" s="36">
        <v>7.9382100105285645</v>
      </c>
      <c r="K12" s="36">
        <v>7.9901719093322754</v>
      </c>
      <c r="L12" s="36">
        <v>8.1038732528686523</v>
      </c>
      <c r="M12" s="36">
        <v>7.9879093170166016</v>
      </c>
      <c r="N12" s="36">
        <v>8.0414257049560547</v>
      </c>
      <c r="O12" s="29">
        <f t="shared" si="0"/>
        <v>9.5370318599864064E-3</v>
      </c>
      <c r="P12" s="29">
        <f t="shared" si="1"/>
        <v>1.3002388988272388E-2</v>
      </c>
    </row>
    <row r="13" spans="1:17" ht="18" customHeight="1">
      <c r="A13" s="187"/>
      <c r="B13" s="37" t="s">
        <v>190</v>
      </c>
      <c r="C13" s="31"/>
      <c r="D13" s="31">
        <v>75.949028015136719</v>
      </c>
      <c r="E13" s="31">
        <v>79.4945068359375</v>
      </c>
      <c r="F13" s="31">
        <v>78.2015380859375</v>
      </c>
      <c r="G13" s="31">
        <v>78.742828369140625</v>
      </c>
      <c r="H13" s="31">
        <v>77.833335876464844</v>
      </c>
      <c r="I13" s="31">
        <v>77.833633422851563</v>
      </c>
      <c r="J13" s="31">
        <v>77.053291320800781</v>
      </c>
      <c r="K13" s="31">
        <v>77.321044921875</v>
      </c>
      <c r="L13" s="31">
        <v>81.547378540039063</v>
      </c>
      <c r="M13" s="31">
        <v>78.467811584472656</v>
      </c>
      <c r="N13" s="31">
        <v>79.990608215332031</v>
      </c>
      <c r="O13" s="29">
        <f t="shared" si="0"/>
        <v>5.321437687642061E-2</v>
      </c>
      <c r="P13" s="29">
        <f t="shared" si="1"/>
        <v>3.8120589583930102E-2</v>
      </c>
    </row>
    <row r="14" spans="1:17" ht="18" customHeight="1">
      <c r="A14" s="187"/>
      <c r="B14" s="37" t="s">
        <v>191</v>
      </c>
      <c r="C14" s="31"/>
      <c r="D14" s="31">
        <v>4.3833918571472168</v>
      </c>
      <c r="E14" s="31">
        <v>4.6487112045288086</v>
      </c>
      <c r="F14" s="31">
        <v>4.4983110427856445</v>
      </c>
      <c r="G14" s="31">
        <v>4.5401387214660645</v>
      </c>
      <c r="H14" s="31">
        <v>4.4928569793701172</v>
      </c>
      <c r="I14" s="31">
        <v>4.4346194267272949</v>
      </c>
      <c r="J14" s="31">
        <v>4.4620599746704102</v>
      </c>
      <c r="K14" s="31">
        <v>4.550541877746582</v>
      </c>
      <c r="L14" s="31">
        <v>4.7542028427124023</v>
      </c>
      <c r="M14" s="31">
        <v>4.4807910919189453</v>
      </c>
      <c r="N14" s="31">
        <v>4.5398211479187012</v>
      </c>
      <c r="O14" s="29">
        <f t="shared" si="0"/>
        <v>3.5686814199926704E-2</v>
      </c>
      <c r="P14" s="29">
        <f t="shared" si="1"/>
        <v>1.7427191407043973E-2</v>
      </c>
    </row>
    <row r="15" spans="1:17" ht="18" customHeight="1">
      <c r="A15" s="187"/>
      <c r="B15" s="37" t="s">
        <v>192</v>
      </c>
      <c r="C15" s="31"/>
      <c r="D15" s="31">
        <v>59.116001129150391</v>
      </c>
      <c r="E15" s="31">
        <v>61.796871185302734</v>
      </c>
      <c r="F15" s="31">
        <v>60.607860565185547</v>
      </c>
      <c r="G15" s="31">
        <v>61.217922210693359</v>
      </c>
      <c r="H15" s="31">
        <v>60.548446655273438</v>
      </c>
      <c r="I15" s="31">
        <v>60.935981750488281</v>
      </c>
      <c r="J15" s="31">
        <v>60.594615936279297</v>
      </c>
      <c r="K15" s="31">
        <v>61.0704345703125</v>
      </c>
      <c r="L15" s="31">
        <v>63.431358337402344</v>
      </c>
      <c r="M15" s="31">
        <v>61.216606140136719</v>
      </c>
      <c r="N15" s="31">
        <v>62.211708068847656</v>
      </c>
      <c r="O15" s="29">
        <f t="shared" si="0"/>
        <v>5.2366649985916544E-2</v>
      </c>
      <c r="P15" s="29">
        <f t="shared" si="1"/>
        <v>2.6687059693040676E-2</v>
      </c>
    </row>
    <row r="16" spans="1:17" ht="18" customHeight="1">
      <c r="A16" s="187"/>
      <c r="B16" s="37" t="s">
        <v>193</v>
      </c>
      <c r="C16" s="33"/>
      <c r="D16" s="33">
        <v>23.731899261474609</v>
      </c>
      <c r="E16" s="33">
        <v>26.593862533569336</v>
      </c>
      <c r="F16" s="33">
        <v>25.407442092895508</v>
      </c>
      <c r="G16" s="33">
        <v>24.297369003295898</v>
      </c>
      <c r="H16" s="33">
        <v>25.122415542602539</v>
      </c>
      <c r="I16" s="33">
        <v>22.429096221923828</v>
      </c>
      <c r="J16" s="33">
        <v>19.395524978637695</v>
      </c>
      <c r="K16" s="33">
        <v>20.917800903320313</v>
      </c>
      <c r="L16" s="33">
        <v>19.629037857055664</v>
      </c>
      <c r="M16" s="33">
        <v>18.594993591308594</v>
      </c>
      <c r="N16" s="33">
        <v>17.221633911132813</v>
      </c>
      <c r="O16" s="29">
        <f t="shared" si="0"/>
        <v>-0.27432550924865479</v>
      </c>
      <c r="P16" s="29">
        <f t="shared" si="1"/>
        <v>-0.11208209470479477</v>
      </c>
    </row>
    <row r="17" spans="1:16" ht="18" customHeight="1">
      <c r="A17" s="187"/>
      <c r="B17" s="37" t="s">
        <v>200</v>
      </c>
      <c r="C17" s="33"/>
      <c r="D17" s="33">
        <f ca="1">61.9891171875*OFFSET(D$113,MATCH($N$1,$C$113:$C$114,0)-1,0)</f>
        <v>61.9891171875</v>
      </c>
      <c r="E17" s="33">
        <f ca="1">64.0297109375*OFFSET(E$113,MATCH($N$1,$C$113:$C$114,0)-1,0)</f>
        <v>64.029710937499999</v>
      </c>
      <c r="F17" s="33">
        <f ca="1">65.54959375*OFFSET(F$113,MATCH($N$1,$C$113:$C$114,0)-1,0)</f>
        <v>65.54959375</v>
      </c>
      <c r="G17" s="33">
        <f ca="1">62.67930859375*OFFSET(G$113,MATCH($N$1,$C$113:$C$114,0)-1,0)</f>
        <v>62.679308593750001</v>
      </c>
      <c r="H17" s="33">
        <f ca="1">72.8215*OFFSET(H$113,MATCH($N$1,$C$113:$C$114,0)-1,0)</f>
        <v>72.8215</v>
      </c>
      <c r="I17" s="33">
        <f ca="1">69.287875*OFFSET(I$113,MATCH($N$1,$C$113:$C$114,0)-1,0)</f>
        <v>69.287875</v>
      </c>
      <c r="J17" s="33">
        <f ca="1">76.6464375*OFFSET(J$113,MATCH($N$1,$C$113:$C$114,0)-1,0)</f>
        <v>76.646437500000005</v>
      </c>
      <c r="K17" s="33">
        <f ca="1">80.1176171875*OFFSET(K$113,MATCH($N$1,$C$113:$C$114,0)-1,0)</f>
        <v>80.117617187500002</v>
      </c>
      <c r="L17" s="33">
        <f ca="1">62.63774609375*OFFSET(L$113,MATCH($N$1,$C$113:$C$114,0)-1,0)</f>
        <v>62.637746093750003</v>
      </c>
      <c r="M17" s="33">
        <f ca="1">71.4725546875*OFFSET(M$113,MATCH($N$1,$C$113:$C$114,0)-1,0)</f>
        <v>71.472554687499994</v>
      </c>
      <c r="N17" s="33">
        <v>72.694656250000008</v>
      </c>
      <c r="O17" s="29">
        <f t="shared" ca="1" si="0"/>
        <v>0.17270029883017535</v>
      </c>
      <c r="P17" s="29">
        <f t="shared" ca="1" si="1"/>
        <v>-5.155857700496512E-2</v>
      </c>
    </row>
    <row r="18" spans="1:16" ht="18" customHeight="1">
      <c r="A18" s="187"/>
      <c r="B18" s="37" t="s">
        <v>195</v>
      </c>
      <c r="C18" s="31"/>
      <c r="D18" s="31">
        <v>109.43095397949219</v>
      </c>
      <c r="E18" s="31">
        <v>111.51348876953125</v>
      </c>
      <c r="F18" s="31">
        <v>125.99232482910156</v>
      </c>
      <c r="G18" s="31">
        <v>135.67457580566406</v>
      </c>
      <c r="H18" s="31">
        <v>124.98342895507813</v>
      </c>
      <c r="I18" s="31">
        <v>88.004524230957031</v>
      </c>
      <c r="J18" s="31">
        <v>84.168190002441406</v>
      </c>
      <c r="K18" s="31">
        <v>85.821456909179688</v>
      </c>
      <c r="L18" s="31">
        <v>76.566696166992188</v>
      </c>
      <c r="M18" s="31">
        <v>78.522705078125</v>
      </c>
      <c r="N18" s="31">
        <v>76.07598876953125</v>
      </c>
      <c r="O18" s="29">
        <f t="shared" si="0"/>
        <v>-0.30480375064821053</v>
      </c>
      <c r="P18" s="29">
        <f t="shared" si="1"/>
        <v>-9.6143225043516217E-2</v>
      </c>
    </row>
    <row r="19" spans="1:16" ht="18" customHeight="1">
      <c r="A19" s="187"/>
      <c r="B19" s="37" t="s">
        <v>201</v>
      </c>
      <c r="C19" s="31"/>
      <c r="D19" s="31">
        <v>21.230770111083984</v>
      </c>
      <c r="E19" s="31">
        <v>21.516483306884766</v>
      </c>
      <c r="F19" s="31">
        <v>22.159309387207031</v>
      </c>
      <c r="G19" s="31">
        <v>22.351137161254883</v>
      </c>
      <c r="H19" s="31">
        <v>22.884899139404297</v>
      </c>
      <c r="I19" s="31">
        <v>22.761301040649414</v>
      </c>
      <c r="J19" s="31">
        <v>23.26228141784668</v>
      </c>
      <c r="K19" s="31">
        <v>23.956592559814453</v>
      </c>
      <c r="L19" s="31">
        <v>23.06071662902832</v>
      </c>
      <c r="M19" s="31">
        <v>23.473007202148438</v>
      </c>
      <c r="N19" s="31">
        <v>23.576923370361328</v>
      </c>
      <c r="O19" s="29">
        <f t="shared" si="0"/>
        <v>0.11050721415199553</v>
      </c>
      <c r="P19" s="29">
        <f t="shared" si="1"/>
        <v>1.3525842408271146E-2</v>
      </c>
    </row>
    <row r="20" spans="1:16" ht="18" customHeight="1">
      <c r="A20" s="187"/>
      <c r="B20" s="37" t="s">
        <v>202</v>
      </c>
      <c r="C20" s="38"/>
      <c r="D20" s="38">
        <v>0.21686641871929169</v>
      </c>
      <c r="E20" s="38">
        <v>0.23848113417625427</v>
      </c>
      <c r="F20" s="38">
        <v>0.20165865123271942</v>
      </c>
      <c r="G20" s="38">
        <v>0.17908564209938049</v>
      </c>
      <c r="H20" s="38">
        <v>0.2010059654712677</v>
      </c>
      <c r="I20" s="38">
        <v>0.25486299395561218</v>
      </c>
      <c r="J20" s="38">
        <v>0.23043771088123322</v>
      </c>
      <c r="K20" s="38">
        <v>0.24373625218868256</v>
      </c>
      <c r="L20" s="38">
        <v>0.25636520981788635</v>
      </c>
      <c r="M20" s="38">
        <v>0.23681040108203888</v>
      </c>
      <c r="N20" s="38">
        <v>0.22637410461902618</v>
      </c>
      <c r="O20" s="29">
        <f t="shared" si="0"/>
        <v>4.384120859228597E-2</v>
      </c>
      <c r="P20" s="29">
        <f t="shared" si="1"/>
        <v>-1.7634293652141857E-2</v>
      </c>
    </row>
    <row r="21" spans="1:16" ht="18" customHeight="1">
      <c r="A21" s="188"/>
      <c r="B21" s="39" t="s">
        <v>203</v>
      </c>
      <c r="C21" s="40"/>
      <c r="D21" s="40">
        <f ca="1">2612*OFFSET(D$113,MATCH($N$1,$C$113:$C$114,0)-1,0)</f>
        <v>2612</v>
      </c>
      <c r="E21" s="40">
        <f ca="1">2408*OFFSET(E$113,MATCH($N$1,$C$113:$C$114,0)-1,0)</f>
        <v>2408</v>
      </c>
      <c r="F21" s="40">
        <f ca="1">2580*OFFSET(F$113,MATCH($N$1,$C$113:$C$114,0)-1,0)</f>
        <v>2580</v>
      </c>
      <c r="G21" s="40">
        <f ca="1">2580*OFFSET(G$113,MATCH($N$1,$C$113:$C$114,0)-1,0)</f>
        <v>2580</v>
      </c>
      <c r="H21" s="40">
        <f ca="1">2899*OFFSET(H$113,MATCH($N$1,$C$113:$C$114,0)-1,0)</f>
        <v>2899</v>
      </c>
      <c r="I21" s="40">
        <f ca="1">3089*OFFSET(I$113,MATCH($N$1,$C$113:$C$114,0)-1,0)</f>
        <v>3089</v>
      </c>
      <c r="J21" s="40">
        <f ca="1">3952*OFFSET(J$113,MATCH($N$1,$C$113:$C$114,0)-1,0)</f>
        <v>3952</v>
      </c>
      <c r="K21" s="40">
        <f ca="1">3830*OFFSET(K$113,MATCH($N$1,$C$113:$C$114,0)-1,0)</f>
        <v>3830</v>
      </c>
      <c r="L21" s="40">
        <f ca="1">3191*OFFSET(L$113,MATCH($N$1,$C$113:$C$114,0)-1,0)</f>
        <v>3191</v>
      </c>
      <c r="M21" s="40">
        <f ca="1">3844*OFFSET(M$113,MATCH($N$1,$C$113:$C$114,0)-1,0)</f>
        <v>3844</v>
      </c>
      <c r="N21" s="40">
        <v>4221</v>
      </c>
      <c r="O21" s="34">
        <f t="shared" ca="1" si="0"/>
        <v>0.61600306278713635</v>
      </c>
      <c r="P21" s="34">
        <f t="shared" ca="1" si="1"/>
        <v>6.8066801619433195E-2</v>
      </c>
    </row>
    <row r="22" spans="1:16" ht="18" customHeight="1">
      <c r="A22" s="189" t="s">
        <v>204</v>
      </c>
      <c r="B22" s="35" t="s">
        <v>205</v>
      </c>
      <c r="C22" s="41"/>
      <c r="D22" s="41">
        <v>2.6387625670278583</v>
      </c>
      <c r="E22" s="41">
        <v>2.7986422073965769</v>
      </c>
      <c r="F22" s="41">
        <v>2.4366922165614433</v>
      </c>
      <c r="G22" s="41">
        <v>2.1620165451187079</v>
      </c>
      <c r="H22" s="41">
        <v>2.4172016242267644</v>
      </c>
      <c r="I22" s="41">
        <v>2.9819414369914212</v>
      </c>
      <c r="J22" s="41">
        <v>2.7132952824039109</v>
      </c>
      <c r="K22" s="41">
        <v>2.831586364705037</v>
      </c>
      <c r="L22" s="41">
        <v>2.8246670994924696</v>
      </c>
      <c r="M22" s="41">
        <v>2.7415102821716637</v>
      </c>
      <c r="N22" s="41">
        <v>2.5595402198670487</v>
      </c>
      <c r="O22" s="29">
        <f t="shared" si="0"/>
        <v>-3.0022537135669918E-2</v>
      </c>
      <c r="P22" s="29">
        <f t="shared" si="1"/>
        <v>-5.6667279648471999E-2</v>
      </c>
    </row>
    <row r="23" spans="1:16" ht="18" customHeight="1">
      <c r="A23" s="189"/>
      <c r="B23" s="37" t="s">
        <v>206</v>
      </c>
      <c r="C23" s="38"/>
      <c r="D23" s="38">
        <f ca="1">6.89260308225808*OFFSET(D$113,MATCH($N$1,$C$113:$C$114,0)-1,0)</f>
        <v>6.8926030822580797</v>
      </c>
      <c r="E23" s="38">
        <f ca="1">6.73825591641271*OFFSET(E$113,MATCH($N$1,$C$113:$C$114,0)-1,0)</f>
        <v>6.7382559164127098</v>
      </c>
      <c r="F23" s="38">
        <f ca="1">6.28651181434955*OFFSET(F$113,MATCH($N$1,$C$113:$C$114,0)-1,0)</f>
        <v>6.2865118143495504</v>
      </c>
      <c r="G23" s="38">
        <f ca="1">5.57729942686002*OFFSET(G$113,MATCH($N$1,$C$113:$C$114,0)-1,0)</f>
        <v>5.5772994268600202</v>
      </c>
      <c r="H23" s="38">
        <f ca="1">7.00666095503945*OFFSET(H$113,MATCH($N$1,$C$113:$C$114,0)-1,0)</f>
        <v>7.0066609550394503</v>
      </c>
      <c r="I23" s="38">
        <f ca="1">9.21180164814773*OFFSET(I$113,MATCH($N$1,$C$113:$C$114,0)-1,0)</f>
        <v>9.2118016481477305</v>
      </c>
      <c r="J23" s="38">
        <f ca="1">10.7222886470394*OFFSET(J$113,MATCH($N$1,$C$113:$C$114,0)-1,0)</f>
        <v>10.722288647039401</v>
      </c>
      <c r="K23" s="38">
        <f ca="1">10.8453060361987*OFFSET(K$113,MATCH($N$1,$C$113:$C$114,0)-1,0)</f>
        <v>10.8453060361987</v>
      </c>
      <c r="L23" s="38">
        <f ca="1">9.01372659555908*OFFSET(L$113,MATCH($N$1,$C$113:$C$114,0)-1,0)</f>
        <v>9.0137265955590795</v>
      </c>
      <c r="M23" s="38">
        <f ca="1">10.5373923689031*OFFSET(M$113,MATCH($N$1,$C$113:$C$114,0)-1,0)</f>
        <v>10.537392368903101</v>
      </c>
      <c r="N23" s="38">
        <v>10.80413724977652</v>
      </c>
      <c r="O23" s="29">
        <f t="shared" ca="1" si="0"/>
        <v>0.56749737665685895</v>
      </c>
      <c r="P23" s="29">
        <f t="shared" ca="1" si="1"/>
        <v>7.6335011518011532E-3</v>
      </c>
    </row>
    <row r="24" spans="1:16" ht="18" customHeight="1">
      <c r="A24" s="189"/>
      <c r="B24" s="37" t="s">
        <v>153</v>
      </c>
      <c r="C24" s="38"/>
      <c r="D24" s="38">
        <f ca="1">5.87012969984962*OFFSET(D$113,MATCH($N$1,$C$113:$C$114,0)-1,0)</f>
        <v>5.8701296998496204</v>
      </c>
      <c r="E24" s="38">
        <f ca="1">5.52391512479248*OFFSET(E$113,MATCH($N$1,$C$113:$C$114,0)-1,0)</f>
        <v>5.52391512479248</v>
      </c>
      <c r="F24" s="38">
        <f ca="1">5.25418025862416*OFFSET(F$113,MATCH($N$1,$C$113:$C$114,0)-1,0)</f>
        <v>5.2541802586241602</v>
      </c>
      <c r="G24" s="38">
        <f ca="1">4.58404888934307*OFFSET(G$113,MATCH($N$1,$C$113:$C$114,0)-1,0)</f>
        <v>4.5840488893430704</v>
      </c>
      <c r="H24" s="38">
        <f ca="1">5.07966949485549*OFFSET(H$113,MATCH($N$1,$C$113:$C$114,0)-1,0)</f>
        <v>5.0796694948554899</v>
      </c>
      <c r="I24" s="38">
        <f ca="1">6.54926328148274*OFFSET(I$113,MATCH($N$1,$C$113:$C$114,0)-1,0)</f>
        <v>6.5492632814827401</v>
      </c>
      <c r="J24" s="38">
        <f ca="1">7.852134827746*OFFSET(J$113,MATCH($N$1,$C$113:$C$114,0)-1,0)</f>
        <v>7.8521348277460001</v>
      </c>
      <c r="K24" s="38">
        <f ca="1">8.3560230222245*OFFSET(K$113,MATCH($N$1,$C$113:$C$114,0)-1,0)</f>
        <v>8.3560230222245</v>
      </c>
      <c r="L24" s="38">
        <f ca="1">7.35326406012538*OFFSET(L$113,MATCH($N$1,$C$113:$C$114,0)-1,0)</f>
        <v>7.3532640601253796</v>
      </c>
      <c r="M24" s="38">
        <f ca="1">7.62526928245984*OFFSET(M$113,MATCH($N$1,$C$113:$C$114,0)-1,0)</f>
        <v>7.6252692824598398</v>
      </c>
      <c r="N24" s="38">
        <v>8.1712277451123683</v>
      </c>
      <c r="O24" s="29">
        <f t="shared" ca="1" si="0"/>
        <v>0.39200122704643081</v>
      </c>
      <c r="P24" s="29">
        <f t="shared" ca="1" si="1"/>
        <v>4.0637727747469862E-2</v>
      </c>
    </row>
    <row r="25" spans="1:16" ht="18" customHeight="1">
      <c r="A25" s="189"/>
      <c r="B25" s="37" t="s">
        <v>154</v>
      </c>
      <c r="C25" s="38"/>
      <c r="D25" s="38">
        <f ca="1">1.34985276483843*OFFSET(D$113,MATCH($N$1,$C$113:$C$114,0)-1,0)</f>
        <v>1.34985276483843</v>
      </c>
      <c r="E25" s="38">
        <f ca="1">1.5588483150975*OFFSET(E$113,MATCH($N$1,$C$113:$C$114,0)-1,0)</f>
        <v>1.5588483150975001</v>
      </c>
      <c r="F25" s="38">
        <f ca="1">1.28928471416383*OFFSET(F$113,MATCH($N$1,$C$113:$C$114,0)-1,0)</f>
        <v>1.2892847141638299</v>
      </c>
      <c r="G25" s="38">
        <f ca="1">1.13082436762085*OFFSET(G$113,MATCH($N$1,$C$113:$C$114,0)-1,0)</f>
        <v>1.13082436762085</v>
      </c>
      <c r="H25" s="38">
        <f ca="1">2.29438790342752*OFFSET(H$113,MATCH($N$1,$C$113:$C$114,0)-1,0)</f>
        <v>2.2943879034275199</v>
      </c>
      <c r="I25" s="38">
        <f ca="1">2.91503807080649*OFFSET(I$113,MATCH($N$1,$C$113:$C$114,0)-1,0)</f>
        <v>2.91503807080649</v>
      </c>
      <c r="J25" s="38">
        <f ca="1">3.24821172127224*OFFSET(J$113,MATCH($N$1,$C$113:$C$114,0)-1,0)</f>
        <v>3.2482117212722401</v>
      </c>
      <c r="K25" s="38">
        <f ca="1">3.12782342128044*OFFSET(K$113,MATCH($N$1,$C$113:$C$114,0)-1,0)</f>
        <v>3.1278234212804401</v>
      </c>
      <c r="L25" s="38">
        <f ca="1">2.93886821969383*OFFSET(L$113,MATCH($N$1,$C$113:$C$114,0)-1,0)</f>
        <v>2.9388682196938301</v>
      </c>
      <c r="M25" s="38">
        <f ca="1">3.45387929796402*OFFSET(M$113,MATCH($N$1,$C$113:$C$114,0)-1,0)</f>
        <v>3.4538792979640198</v>
      </c>
      <c r="N25" s="38">
        <v>3.1625356627557677</v>
      </c>
      <c r="O25" s="29">
        <f t="shared" ca="1" si="0"/>
        <v>1.3428745305672696</v>
      </c>
      <c r="P25" s="29">
        <f t="shared" ca="1" si="1"/>
        <v>-2.6376377486537525E-2</v>
      </c>
    </row>
    <row r="26" spans="1:16" ht="18" customHeight="1">
      <c r="A26" s="189"/>
      <c r="B26" s="37" t="s">
        <v>207</v>
      </c>
      <c r="C26" s="33"/>
      <c r="D26" s="33">
        <f ca="1">69.81*OFFSET(D$113,MATCH($N$1,$C$113:$C$114,0)-1,0)</f>
        <v>69.81</v>
      </c>
      <c r="E26" s="33">
        <f ca="1">71.59*OFFSET(E$113,MATCH($N$1,$C$113:$C$114,0)-1,0)</f>
        <v>71.59</v>
      </c>
      <c r="F26" s="33">
        <f ca="1">68.47*OFFSET(F$113,MATCH($N$1,$C$113:$C$114,0)-1,0)</f>
        <v>68.47</v>
      </c>
      <c r="G26" s="33">
        <f ca="1">58.65*OFFSET(G$113,MATCH($N$1,$C$113:$C$114,0)-1,0)</f>
        <v>58.65</v>
      </c>
      <c r="H26" s="33">
        <f ca="1">69.93*OFFSET(H$113,MATCH($N$1,$C$113:$C$114,0)-1,0)</f>
        <v>69.930000000000007</v>
      </c>
      <c r="I26" s="33">
        <f ca="1">110.21*OFFSET(I$113,MATCH($N$1,$C$113:$C$114,0)-1,0)</f>
        <v>110.21</v>
      </c>
      <c r="J26" s="33">
        <f ca="1">105.69*OFFSET(J$113,MATCH($N$1,$C$113:$C$114,0)-1,0)</f>
        <v>105.69</v>
      </c>
      <c r="K26" s="33">
        <f ca="1">145.87*OFFSET(K$113,MATCH($N$1,$C$113:$C$114,0)-1,0)</f>
        <v>145.87</v>
      </c>
      <c r="L26" s="33">
        <f ca="1">108.3*OFFSET(L$113,MATCH($N$1,$C$113:$C$114,0)-1,0)</f>
        <v>108.3</v>
      </c>
      <c r="M26" s="33">
        <f ca="1">117.95*OFFSET(M$113,MATCH($N$1,$C$113:$C$114,0)-1,0)</f>
        <v>117.95</v>
      </c>
      <c r="N26" s="33">
        <v>122.66</v>
      </c>
      <c r="O26" s="29">
        <f t="shared" ca="1" si="0"/>
        <v>0.7570548632001145</v>
      </c>
      <c r="P26" s="29">
        <f t="shared" ca="1" si="1"/>
        <v>0.16056391333144099</v>
      </c>
    </row>
    <row r="27" spans="1:16" ht="18" customHeight="1">
      <c r="A27" s="190"/>
      <c r="B27" s="37" t="s">
        <v>208</v>
      </c>
      <c r="C27" s="33"/>
      <c r="D27" s="33">
        <f ca="1">13.62*OFFSET(D$113,MATCH($N$1,$C$113:$C$114,0)-1,0)</f>
        <v>13.62</v>
      </c>
      <c r="E27" s="33">
        <f ca="1">16.55*OFFSET(E$113,MATCH($N$1,$C$113:$C$114,0)-1,0)</f>
        <v>16.55</v>
      </c>
      <c r="F27" s="33">
        <f ca="1">14.01*OFFSET(F$113,MATCH($N$1,$C$113:$C$114,0)-1,0)</f>
        <v>14.01</v>
      </c>
      <c r="G27" s="33">
        <f ca="1">11.88*OFFSET(G$113,MATCH($N$1,$C$113:$C$114,0)-1,0)</f>
        <v>11.88</v>
      </c>
      <c r="H27" s="33">
        <f ca="1">22.86*OFFSET(H$113,MATCH($N$1,$C$113:$C$114,0)-1,0)</f>
        <v>22.86</v>
      </c>
      <c r="I27" s="33">
        <f ca="1">34.83*OFFSET(I$113,MATCH($N$1,$C$113:$C$114,0)-1,0)</f>
        <v>34.83</v>
      </c>
      <c r="J27" s="33">
        <f ca="1">32.01*OFFSET(J$113,MATCH($N$1,$C$113:$C$114,0)-1,0)</f>
        <v>32.01</v>
      </c>
      <c r="K27" s="33">
        <f ca="1">42.07*OFFSET(K$113,MATCH($N$1,$C$113:$C$114,0)-1,0)</f>
        <v>42.07</v>
      </c>
      <c r="L27" s="33">
        <f ca="1">35.29*OFFSET(L$113,MATCH($N$1,$C$113:$C$114,0)-1,0)</f>
        <v>35.29</v>
      </c>
      <c r="M27" s="33">
        <f ca="1">38.6*OFFSET(M$113,MATCH($N$1,$C$113:$C$114,0)-1,0)</f>
        <v>38.6</v>
      </c>
      <c r="N27" s="33">
        <v>35.94</v>
      </c>
      <c r="O27" s="34">
        <f t="shared" ca="1" si="0"/>
        <v>1.6387665198237886</v>
      </c>
      <c r="P27" s="34">
        <f t="shared" ca="1" si="1"/>
        <v>0.12277413308341144</v>
      </c>
    </row>
    <row r="28" spans="1:16" s="78" customFormat="1" ht="18" customHeight="1">
      <c r="A28" s="191" t="s">
        <v>209</v>
      </c>
      <c r="B28" s="82" t="s">
        <v>200</v>
      </c>
      <c r="C28" s="83"/>
      <c r="D28" s="83">
        <f ca="1">62*OFFSET(D$113,MATCH($N$1,$C$113:$C$114,0)-1,0)</f>
        <v>62</v>
      </c>
      <c r="E28" s="83">
        <f ca="1">64*OFFSET(E$113,MATCH($N$1,$C$113:$C$114,0)-1,0)</f>
        <v>64</v>
      </c>
      <c r="F28" s="83">
        <f ca="1">65.5*OFFSET(F$113,MATCH($N$1,$C$113:$C$114,0)-1,0)</f>
        <v>65.5</v>
      </c>
      <c r="G28" s="83">
        <f ca="1">62.7*OFFSET(G$113,MATCH($N$1,$C$113:$C$114,0)-1,0)</f>
        <v>62.7</v>
      </c>
      <c r="H28" s="83">
        <f ca="1">72.8*OFFSET(H$113,MATCH($N$1,$C$113:$C$114,0)-1,0)</f>
        <v>72.8</v>
      </c>
      <c r="I28" s="83">
        <f ca="1">69.3*OFFSET(I$113,MATCH($N$1,$C$113:$C$114,0)-1,0)</f>
        <v>69.3</v>
      </c>
      <c r="J28" s="83">
        <f ca="1">76.6*OFFSET(J$113,MATCH($N$1,$C$113:$C$114,0)-1,0)</f>
        <v>76.599999999999994</v>
      </c>
      <c r="K28" s="83">
        <f ca="1">80.1*OFFSET(K$113,MATCH($N$1,$C$113:$C$114,0)-1,0)</f>
        <v>80.099999999999994</v>
      </c>
      <c r="L28" s="83">
        <f ca="1">62.6*OFFSET(L$113,MATCH($N$1,$C$113:$C$114,0)-1,0)</f>
        <v>62.6</v>
      </c>
      <c r="M28" s="83">
        <f ca="1">71.5*OFFSET(M$113,MATCH($N$1,$C$113:$C$114,0)-1,0)</f>
        <v>71.5</v>
      </c>
      <c r="N28" s="83">
        <v>72.7</v>
      </c>
      <c r="O28" s="84">
        <f t="shared" ca="1" si="0"/>
        <v>0.17258064516129037</v>
      </c>
      <c r="P28" s="84">
        <f t="shared" ca="1" si="1"/>
        <v>-5.0913838120104332E-2</v>
      </c>
    </row>
    <row r="29" spans="1:16" s="78" customFormat="1" ht="18" customHeight="1">
      <c r="A29" s="192"/>
      <c r="B29" s="85" t="s">
        <v>210</v>
      </c>
      <c r="C29" s="86"/>
      <c r="D29" s="86">
        <f ca="1">2.9*OFFSET(D$113,MATCH($N$1,$C$113:$C$114,0)-1,0)</f>
        <v>2.9</v>
      </c>
      <c r="E29" s="86">
        <f ca="1">3.3*OFFSET(E$113,MATCH($N$1,$C$113:$C$114,0)-1,0)</f>
        <v>3.3</v>
      </c>
      <c r="F29" s="86">
        <f ca="1">2.7*OFFSET(F$113,MATCH($N$1,$C$113:$C$114,0)-1,0)</f>
        <v>2.7</v>
      </c>
      <c r="G29" s="86">
        <f ca="1">1.5*OFFSET(G$113,MATCH($N$1,$C$113:$C$114,0)-1,0)</f>
        <v>1.5</v>
      </c>
      <c r="H29" s="86">
        <f ca="1">3.8*OFFSET(H$113,MATCH($N$1,$C$113:$C$114,0)-1,0)</f>
        <v>3.8</v>
      </c>
      <c r="I29" s="86">
        <f ca="1">1.9*OFFSET(I$113,MATCH($N$1,$C$113:$C$114,0)-1,0)</f>
        <v>1.9</v>
      </c>
      <c r="J29" s="86">
        <f ca="1">2.7*OFFSET(J$113,MATCH($N$1,$C$113:$C$114,0)-1,0)</f>
        <v>2.7</v>
      </c>
      <c r="K29" s="86">
        <f ca="1">4.7*OFFSET(K$113,MATCH($N$1,$C$113:$C$114,0)-1,0)</f>
        <v>4.7</v>
      </c>
      <c r="L29" s="86">
        <f ca="1">8.9*OFFSET(L$113,MATCH($N$1,$C$113:$C$114,0)-1,0)</f>
        <v>8.9</v>
      </c>
      <c r="M29" s="86">
        <f ca="1">3.7*OFFSET(M$113,MATCH($N$1,$C$113:$C$114,0)-1,0)</f>
        <v>3.7</v>
      </c>
      <c r="N29" s="86">
        <v>3.6</v>
      </c>
      <c r="O29" s="84">
        <f t="shared" ca="1" si="0"/>
        <v>0.24137931034482765</v>
      </c>
      <c r="P29" s="84">
        <f t="shared" ca="1" si="1"/>
        <v>0.33333333333333326</v>
      </c>
    </row>
    <row r="30" spans="1:16" s="78" customFormat="1" ht="18" customHeight="1">
      <c r="A30" s="192"/>
      <c r="B30" s="87" t="s">
        <v>211</v>
      </c>
      <c r="C30" s="88"/>
      <c r="D30" s="88">
        <f ca="1">64.9*OFFSET(D$113,MATCH($N$1,$C$113:$C$114,0)-1,0)</f>
        <v>64.900000000000006</v>
      </c>
      <c r="E30" s="88">
        <f ca="1">67.3*OFFSET(E$113,MATCH($N$1,$C$113:$C$114,0)-1,0)</f>
        <v>67.3</v>
      </c>
      <c r="F30" s="88">
        <f ca="1">68.2*OFFSET(F$113,MATCH($N$1,$C$113:$C$114,0)-1,0)</f>
        <v>68.2</v>
      </c>
      <c r="G30" s="88">
        <f ca="1">64.2*OFFSET(G$113,MATCH($N$1,$C$113:$C$114,0)-1,0)</f>
        <v>64.2</v>
      </c>
      <c r="H30" s="88">
        <f ca="1">76.6*OFFSET(H$113,MATCH($N$1,$C$113:$C$114,0)-1,0)</f>
        <v>76.599999999999994</v>
      </c>
      <c r="I30" s="88">
        <f ca="1">71.2*OFFSET(I$113,MATCH($N$1,$C$113:$C$114,0)-1,0)</f>
        <v>71.2</v>
      </c>
      <c r="J30" s="88">
        <f ca="1">79.3*OFFSET(J$113,MATCH($N$1,$C$113:$C$114,0)-1,0)</f>
        <v>79.3</v>
      </c>
      <c r="K30" s="88">
        <f ca="1">84.8*OFFSET(K$113,MATCH($N$1,$C$113:$C$114,0)-1,0)</f>
        <v>84.8</v>
      </c>
      <c r="L30" s="88">
        <f ca="1">71.5*OFFSET(L$113,MATCH($N$1,$C$113:$C$114,0)-1,0)</f>
        <v>71.5</v>
      </c>
      <c r="M30" s="88">
        <f ca="1">75.1*OFFSET(M$113,MATCH($N$1,$C$113:$C$114,0)-1,0)</f>
        <v>75.099999999999994</v>
      </c>
      <c r="N30" s="88">
        <v>76.3</v>
      </c>
      <c r="O30" s="84">
        <f t="shared" ca="1" si="0"/>
        <v>0.17565485362095518</v>
      </c>
      <c r="P30" s="84">
        <f t="shared" ca="1" si="1"/>
        <v>-3.7831021437578813E-2</v>
      </c>
    </row>
    <row r="31" spans="1:16" s="78" customFormat="1" ht="18" customHeight="1">
      <c r="A31" s="192"/>
      <c r="B31" s="85" t="s">
        <v>212</v>
      </c>
      <c r="C31" s="86"/>
      <c r="D31" s="86">
        <f ca="1">10.7*OFFSET(D$113,MATCH($N$1,$C$113:$C$114,0)-1,0)</f>
        <v>10.7</v>
      </c>
      <c r="E31" s="86">
        <f ca="1">10.6*OFFSET(E$113,MATCH($N$1,$C$113:$C$114,0)-1,0)</f>
        <v>10.6</v>
      </c>
      <c r="F31" s="86">
        <f ca="1">10.6*OFFSET(F$113,MATCH($N$1,$C$113:$C$114,0)-1,0)</f>
        <v>10.6</v>
      </c>
      <c r="G31" s="86">
        <f ca="1">7.9*OFFSET(G$113,MATCH($N$1,$C$113:$C$114,0)-1,0)</f>
        <v>7.9</v>
      </c>
      <c r="H31" s="86">
        <f ca="1">6.9*OFFSET(H$113,MATCH($N$1,$C$113:$C$114,0)-1,0)</f>
        <v>6.9</v>
      </c>
      <c r="I31" s="86">
        <f ca="1">6*OFFSET(I$113,MATCH($N$1,$C$113:$C$114,0)-1,0)</f>
        <v>6</v>
      </c>
      <c r="J31" s="86">
        <f ca="1">6.9*OFFSET(J$113,MATCH($N$1,$C$113:$C$114,0)-1,0)</f>
        <v>6.9</v>
      </c>
      <c r="K31" s="86">
        <f ca="1">6.8*OFFSET(K$113,MATCH($N$1,$C$113:$C$114,0)-1,0)</f>
        <v>6.8</v>
      </c>
      <c r="L31" s="86">
        <f ca="1">4.2*OFFSET(L$113,MATCH($N$1,$C$113:$C$114,0)-1,0)</f>
        <v>4.2</v>
      </c>
      <c r="M31" s="86">
        <f ca="1">5.3*OFFSET(M$113,MATCH($N$1,$C$113:$C$114,0)-1,0)</f>
        <v>5.3</v>
      </c>
      <c r="N31" s="86">
        <v>9.4</v>
      </c>
      <c r="O31" s="84">
        <f t="shared" ca="1" si="0"/>
        <v>-0.12149532710280364</v>
      </c>
      <c r="P31" s="84">
        <f t="shared" ca="1" si="1"/>
        <v>0.36231884057971014</v>
      </c>
    </row>
    <row r="32" spans="1:16" s="78" customFormat="1" ht="18" customHeight="1">
      <c r="A32" s="192"/>
      <c r="B32" s="85" t="s">
        <v>213</v>
      </c>
      <c r="C32" s="86"/>
      <c r="D32" s="86">
        <f ca="1">17.3*OFFSET(D$113,MATCH($N$1,$C$113:$C$114,0)-1,0)</f>
        <v>17.3</v>
      </c>
      <c r="E32" s="86">
        <f ca="1">19.1*OFFSET(E$113,MATCH($N$1,$C$113:$C$114,0)-1,0)</f>
        <v>19.100000000000001</v>
      </c>
      <c r="F32" s="86">
        <f ca="1">19.8*OFFSET(F$113,MATCH($N$1,$C$113:$C$114,0)-1,0)</f>
        <v>19.8</v>
      </c>
      <c r="G32" s="86">
        <f ca="1">20.1*OFFSET(G$113,MATCH($N$1,$C$113:$C$114,0)-1,0)</f>
        <v>20.100000000000001</v>
      </c>
      <c r="H32" s="86">
        <f ca="1">21.2*OFFSET(H$113,MATCH($N$1,$C$113:$C$114,0)-1,0)</f>
        <v>21.2</v>
      </c>
      <c r="I32" s="86">
        <f ca="1">20.1*OFFSET(I$113,MATCH($N$1,$C$113:$C$114,0)-1,0)</f>
        <v>20.100000000000001</v>
      </c>
      <c r="J32" s="86">
        <f ca="1">23.5*OFFSET(J$113,MATCH($N$1,$C$113:$C$114,0)-1,0)</f>
        <v>23.5</v>
      </c>
      <c r="K32" s="86">
        <f ca="1">25.8*OFFSET(K$113,MATCH($N$1,$C$113:$C$114,0)-1,0)</f>
        <v>25.8</v>
      </c>
      <c r="L32" s="86">
        <f ca="1">20.2*OFFSET(L$113,MATCH($N$1,$C$113:$C$114,0)-1,0)</f>
        <v>20.2</v>
      </c>
      <c r="M32" s="86">
        <f ca="1">22.4*OFFSET(M$113,MATCH($N$1,$C$113:$C$114,0)-1,0)</f>
        <v>22.4</v>
      </c>
      <c r="N32" s="86">
        <v>21.2</v>
      </c>
      <c r="O32" s="84">
        <f t="shared" ca="1" si="0"/>
        <v>0.22543352601156061</v>
      </c>
      <c r="P32" s="84">
        <f t="shared" ca="1" si="1"/>
        <v>-9.7872340425531945E-2</v>
      </c>
    </row>
    <row r="33" spans="1:16" s="78" customFormat="1" ht="18" customHeight="1">
      <c r="A33" s="192"/>
      <c r="B33" s="85" t="s">
        <v>214</v>
      </c>
      <c r="C33" s="86"/>
      <c r="D33" s="86">
        <f ca="1">11.2*OFFSET(D$113,MATCH($N$1,$C$113:$C$114,0)-1,0)</f>
        <v>11.2</v>
      </c>
      <c r="E33" s="86">
        <f ca="1">10.7*OFFSET(E$113,MATCH($N$1,$C$113:$C$114,0)-1,0)</f>
        <v>10.7</v>
      </c>
      <c r="F33" s="86">
        <f ca="1">10.8*OFFSET(F$113,MATCH($N$1,$C$113:$C$114,0)-1,0)</f>
        <v>10.8</v>
      </c>
      <c r="G33" s="86">
        <f ca="1">9.2*OFFSET(G$113,MATCH($N$1,$C$113:$C$114,0)-1,0)</f>
        <v>9.1999999999999993</v>
      </c>
      <c r="H33" s="86">
        <f ca="1">10.9*OFFSET(H$113,MATCH($N$1,$C$113:$C$114,0)-1,0)</f>
        <v>10.9</v>
      </c>
      <c r="I33" s="86">
        <f ca="1">8.7*OFFSET(I$113,MATCH($N$1,$C$113:$C$114,0)-1,0)</f>
        <v>8.6999999999999993</v>
      </c>
      <c r="J33" s="86">
        <f ca="1">9.1*OFFSET(J$113,MATCH($N$1,$C$113:$C$114,0)-1,0)</f>
        <v>9.1</v>
      </c>
      <c r="K33" s="86">
        <f ca="1">10.2*OFFSET(K$113,MATCH($N$1,$C$113:$C$114,0)-1,0)</f>
        <v>10.199999999999999</v>
      </c>
      <c r="L33" s="86">
        <f ca="1">9.1*OFFSET(L$113,MATCH($N$1,$C$113:$C$114,0)-1,0)</f>
        <v>9.1</v>
      </c>
      <c r="M33" s="86">
        <f ca="1">10.1*OFFSET(M$113,MATCH($N$1,$C$113:$C$114,0)-1,0)</f>
        <v>10.1</v>
      </c>
      <c r="N33" s="86">
        <v>10.3</v>
      </c>
      <c r="O33" s="84">
        <f t="shared" ca="1" si="0"/>
        <v>-8.0357142857142738E-2</v>
      </c>
      <c r="P33" s="84">
        <f t="shared" ca="1" si="1"/>
        <v>0.13186813186813198</v>
      </c>
    </row>
    <row r="34" spans="1:16" s="78" customFormat="1" ht="18" customHeight="1">
      <c r="A34" s="192"/>
      <c r="B34" s="85" t="s">
        <v>215</v>
      </c>
      <c r="C34" s="86"/>
      <c r="D34" s="86">
        <f ca="1">39.2*OFFSET(D$113,MATCH($N$1,$C$113:$C$114,0)-1,0)</f>
        <v>39.200000000000003</v>
      </c>
      <c r="E34" s="86">
        <f ca="1">40.5*OFFSET(E$113,MATCH($N$1,$C$113:$C$114,0)-1,0)</f>
        <v>40.5</v>
      </c>
      <c r="F34" s="86">
        <f ca="1">41.3*OFFSET(F$113,MATCH($N$1,$C$113:$C$114,0)-1,0)</f>
        <v>41.3</v>
      </c>
      <c r="G34" s="86">
        <f ca="1">37.2*OFFSET(G$113,MATCH($N$1,$C$113:$C$114,0)-1,0)</f>
        <v>37.200000000000003</v>
      </c>
      <c r="H34" s="86">
        <f ca="1">39*OFFSET(H$113,MATCH($N$1,$C$113:$C$114,0)-1,0)</f>
        <v>39</v>
      </c>
      <c r="I34" s="86">
        <f ca="1">34.7*OFFSET(I$113,MATCH($N$1,$C$113:$C$114,0)-1,0)</f>
        <v>34.700000000000003</v>
      </c>
      <c r="J34" s="86">
        <f ca="1">39.5*OFFSET(J$113,MATCH($N$1,$C$113:$C$114,0)-1,0)</f>
        <v>39.5</v>
      </c>
      <c r="K34" s="86">
        <f ca="1">42.8*OFFSET(K$113,MATCH($N$1,$C$113:$C$114,0)-1,0)</f>
        <v>42.8</v>
      </c>
      <c r="L34" s="86">
        <f ca="1">33.6*OFFSET(L$113,MATCH($N$1,$C$113:$C$114,0)-1,0)</f>
        <v>33.6</v>
      </c>
      <c r="M34" s="86">
        <f ca="1">37.9*OFFSET(M$113,MATCH($N$1,$C$113:$C$114,0)-1,0)</f>
        <v>37.9</v>
      </c>
      <c r="N34" s="86">
        <v>40.9</v>
      </c>
      <c r="O34" s="84">
        <f t="shared" ca="1" si="0"/>
        <v>4.3367346938775399E-2</v>
      </c>
      <c r="P34" s="84">
        <f t="shared" ca="1" si="1"/>
        <v>3.5443037974683511E-2</v>
      </c>
    </row>
    <row r="35" spans="1:16" s="78" customFormat="1" ht="18" customHeight="1">
      <c r="A35" s="192"/>
      <c r="B35" s="85" t="s">
        <v>216</v>
      </c>
      <c r="C35" s="86"/>
      <c r="D35" s="86">
        <f ca="1">13.6*OFFSET(D$113,MATCH($N$1,$C$113:$C$114,0)-1,0)</f>
        <v>13.6</v>
      </c>
      <c r="E35" s="86">
        <f ca="1">12*OFFSET(E$113,MATCH($N$1,$C$113:$C$114,0)-1,0)</f>
        <v>12</v>
      </c>
      <c r="F35" s="86">
        <f ca="1">13.5*OFFSET(F$113,MATCH($N$1,$C$113:$C$114,0)-1,0)</f>
        <v>13.5</v>
      </c>
      <c r="G35" s="86">
        <f ca="1">14.3*OFFSET(G$113,MATCH($N$1,$C$113:$C$114,0)-1,0)</f>
        <v>14.3</v>
      </c>
      <c r="H35" s="86">
        <f ca="1">13.8*OFFSET(H$113,MATCH($N$1,$C$113:$C$114,0)-1,0)</f>
        <v>13.8</v>
      </c>
      <c r="I35" s="86">
        <f ca="1">14.5*OFFSET(I$113,MATCH($N$1,$C$113:$C$114,0)-1,0)</f>
        <v>14.5</v>
      </c>
      <c r="J35" s="86">
        <f ca="1">16.6*OFFSET(J$113,MATCH($N$1,$C$113:$C$114,0)-1,0)</f>
        <v>16.600000000000001</v>
      </c>
      <c r="K35" s="86">
        <f ca="1">19*OFFSET(K$113,MATCH($N$1,$C$113:$C$114,0)-1,0)</f>
        <v>19</v>
      </c>
      <c r="L35" s="86">
        <f ca="1">17.5*OFFSET(L$113,MATCH($N$1,$C$113:$C$114,0)-1,0)</f>
        <v>17.5</v>
      </c>
      <c r="M35" s="86">
        <f ca="1">13.9*OFFSET(M$113,MATCH($N$1,$C$113:$C$114,0)-1,0)</f>
        <v>13.9</v>
      </c>
      <c r="N35" s="86">
        <v>14.1</v>
      </c>
      <c r="O35" s="84">
        <f t="shared" ca="1" si="0"/>
        <v>3.6764705882352942E-2</v>
      </c>
      <c r="P35" s="84">
        <f t="shared" ca="1" si="1"/>
        <v>-0.15060240963855431</v>
      </c>
    </row>
    <row r="36" spans="1:16" s="78" customFormat="1" ht="18" customHeight="1">
      <c r="A36" s="192"/>
      <c r="B36" s="85" t="s">
        <v>217</v>
      </c>
      <c r="C36" s="86"/>
      <c r="D36" s="86">
        <f ca="1">52.8*OFFSET(D$113,MATCH($N$1,$C$113:$C$114,0)-1,0)</f>
        <v>52.8</v>
      </c>
      <c r="E36" s="86">
        <f ca="1">52.5*OFFSET(E$113,MATCH($N$1,$C$113:$C$114,0)-1,0)</f>
        <v>52.5</v>
      </c>
      <c r="F36" s="86">
        <f ca="1">54.8*OFFSET(F$113,MATCH($N$1,$C$113:$C$114,0)-1,0)</f>
        <v>54.8</v>
      </c>
      <c r="G36" s="86">
        <f ca="1">51.5*OFFSET(G$113,MATCH($N$1,$C$113:$C$114,0)-1,0)</f>
        <v>51.5</v>
      </c>
      <c r="H36" s="86">
        <f ca="1">52.8*OFFSET(H$113,MATCH($N$1,$C$113:$C$114,0)-1,0)</f>
        <v>52.8</v>
      </c>
      <c r="I36" s="86">
        <f ca="1">49.3*OFFSET(I$113,MATCH($N$1,$C$113:$C$114,0)-1,0)</f>
        <v>49.3</v>
      </c>
      <c r="J36" s="86">
        <f ca="1">56.1*OFFSET(J$113,MATCH($N$1,$C$113:$C$114,0)-1,0)</f>
        <v>56.1</v>
      </c>
      <c r="K36" s="86">
        <f ca="1">61.7*OFFSET(K$113,MATCH($N$1,$C$113:$C$114,0)-1,0)</f>
        <v>61.7</v>
      </c>
      <c r="L36" s="86">
        <f ca="1">51.1*OFFSET(L$113,MATCH($N$1,$C$113:$C$114,0)-1,0)</f>
        <v>51.1</v>
      </c>
      <c r="M36" s="86">
        <f ca="1">51.7*OFFSET(M$113,MATCH($N$1,$C$113:$C$114,0)-1,0)</f>
        <v>51.7</v>
      </c>
      <c r="N36" s="86">
        <v>55</v>
      </c>
      <c r="O36" s="84">
        <f t="shared" ca="1" si="0"/>
        <v>4.166666666666672E-2</v>
      </c>
      <c r="P36" s="84">
        <f t="shared" ca="1" si="1"/>
        <v>-1.9607843137254926E-2</v>
      </c>
    </row>
    <row r="37" spans="1:16" s="78" customFormat="1" ht="18" customHeight="1">
      <c r="A37" s="192"/>
      <c r="B37" s="87" t="s">
        <v>218</v>
      </c>
      <c r="C37" s="88"/>
      <c r="D37" s="88">
        <f ca="1">29.4*OFFSET(D$113,MATCH($N$1,$C$113:$C$114,0)-1,0)</f>
        <v>29.4</v>
      </c>
      <c r="E37" s="88">
        <f ca="1">33.9*OFFSET(E$113,MATCH($N$1,$C$113:$C$114,0)-1,0)</f>
        <v>33.9</v>
      </c>
      <c r="F37" s="88">
        <f ca="1">33.2*OFFSET(F$113,MATCH($N$1,$C$113:$C$114,0)-1,0)</f>
        <v>33.200000000000003</v>
      </c>
      <c r="G37" s="88">
        <f ca="1">32.8*OFFSET(G$113,MATCH($N$1,$C$113:$C$114,0)-1,0)</f>
        <v>32.799999999999997</v>
      </c>
      <c r="H37" s="88">
        <f ca="1">45*OFFSET(H$113,MATCH($N$1,$C$113:$C$114,0)-1,0)</f>
        <v>45</v>
      </c>
      <c r="I37" s="88">
        <f ca="1">42*OFFSET(I$113,MATCH($N$1,$C$113:$C$114,0)-1,0)</f>
        <v>42</v>
      </c>
      <c r="J37" s="88">
        <f ca="1">46.7*OFFSET(J$113,MATCH($N$1,$C$113:$C$114,0)-1,0)</f>
        <v>46.7</v>
      </c>
      <c r="K37" s="88">
        <f ca="1">48.9*OFFSET(K$113,MATCH($N$1,$C$113:$C$114,0)-1,0)</f>
        <v>48.9</v>
      </c>
      <c r="L37" s="88">
        <f ca="1">40.6*OFFSET(L$113,MATCH($N$1,$C$113:$C$114,0)-1,0)</f>
        <v>40.6</v>
      </c>
      <c r="M37" s="88">
        <f ca="1">45.8*OFFSET(M$113,MATCH($N$1,$C$113:$C$114,0)-1,0)</f>
        <v>45.8</v>
      </c>
      <c r="N37" s="88">
        <v>42.5</v>
      </c>
      <c r="O37" s="84">
        <f t="shared" ca="1" si="0"/>
        <v>0.44557823129251706</v>
      </c>
      <c r="P37" s="84">
        <f t="shared" ca="1" si="1"/>
        <v>-8.9935760171306264E-2</v>
      </c>
    </row>
    <row r="38" spans="1:16" s="78" customFormat="1" ht="18" customHeight="1">
      <c r="A38" s="192"/>
      <c r="B38" s="87" t="s">
        <v>219</v>
      </c>
      <c r="C38" s="88"/>
      <c r="D38" s="88">
        <f ca="1">12.1*OFFSET(D$113,MATCH($N$1,$C$113:$C$114,0)-1,0)</f>
        <v>12.1</v>
      </c>
      <c r="E38" s="88">
        <f ca="1">14.8*OFFSET(E$113,MATCH($N$1,$C$113:$C$114,0)-1,0)</f>
        <v>14.8</v>
      </c>
      <c r="F38" s="88">
        <f ca="1">13.4*OFFSET(F$113,MATCH($N$1,$C$113:$C$114,0)-1,0)</f>
        <v>13.4</v>
      </c>
      <c r="G38" s="88">
        <f ca="1">12.7*OFFSET(G$113,MATCH($N$1,$C$113:$C$114,0)-1,0)</f>
        <v>12.7</v>
      </c>
      <c r="H38" s="88">
        <f ca="1">23.8*OFFSET(H$113,MATCH($N$1,$C$113:$C$114,0)-1,0)</f>
        <v>23.8</v>
      </c>
      <c r="I38" s="88">
        <f ca="1">21.9*OFFSET(I$113,MATCH($N$1,$C$113:$C$114,0)-1,0)</f>
        <v>21.9</v>
      </c>
      <c r="J38" s="88">
        <f ca="1">23.2*OFFSET(J$113,MATCH($N$1,$C$113:$C$114,0)-1,0)</f>
        <v>23.2</v>
      </c>
      <c r="K38" s="88">
        <f ca="1">23.1*OFFSET(K$113,MATCH($N$1,$C$113:$C$114,0)-1,0)</f>
        <v>23.1</v>
      </c>
      <c r="L38" s="88">
        <f ca="1">20.4*OFFSET(L$113,MATCH($N$1,$C$113:$C$114,0)-1,0)</f>
        <v>20.399999999999999</v>
      </c>
      <c r="M38" s="88">
        <f ca="1">23.4*OFFSET(M$113,MATCH($N$1,$C$113:$C$114,0)-1,0)</f>
        <v>23.4</v>
      </c>
      <c r="N38" s="88">
        <v>21.3</v>
      </c>
      <c r="O38" s="84">
        <f t="shared" ca="1" si="0"/>
        <v>0.76033057851239683</v>
      </c>
      <c r="P38" s="84">
        <f t="shared" ca="1" si="1"/>
        <v>-8.1896551724137873E-2</v>
      </c>
    </row>
    <row r="39" spans="1:16" s="78" customFormat="1" ht="18" customHeight="1">
      <c r="A39" s="192"/>
      <c r="B39" s="85" t="s">
        <v>220</v>
      </c>
      <c r="C39" s="86"/>
      <c r="D39" s="86">
        <f ca="1">3.5*OFFSET(D$113,MATCH($N$1,$C$113:$C$114,0)-1,0)</f>
        <v>3.5</v>
      </c>
      <c r="E39" s="86">
        <f ca="1">4.6*OFFSET(E$113,MATCH($N$1,$C$113:$C$114,0)-1,0)</f>
        <v>4.5999999999999996</v>
      </c>
      <c r="F39" s="86">
        <f ca="1">4.9*OFFSET(F$113,MATCH($N$1,$C$113:$C$114,0)-1,0)</f>
        <v>4.9000000000000004</v>
      </c>
      <c r="G39" s="86">
        <f ca="1">4.7*OFFSET(G$113,MATCH($N$1,$C$113:$C$114,0)-1,0)</f>
        <v>4.7</v>
      </c>
      <c r="H39" s="86">
        <f ca="1">4.9*OFFSET(H$113,MATCH($N$1,$C$113:$C$114,0)-1,0)</f>
        <v>4.9000000000000004</v>
      </c>
      <c r="I39" s="86">
        <f ca="1">4.9*OFFSET(I$113,MATCH($N$1,$C$113:$C$114,0)-1,0)</f>
        <v>4.9000000000000004</v>
      </c>
      <c r="J39" s="86">
        <f ca="1">5.3*OFFSET(J$113,MATCH($N$1,$C$113:$C$114,0)-1,0)</f>
        <v>5.3</v>
      </c>
      <c r="K39" s="86">
        <f ca="1">6.8*OFFSET(K$113,MATCH($N$1,$C$113:$C$114,0)-1,0)</f>
        <v>6.8</v>
      </c>
      <c r="L39" s="86">
        <f ca="1">7.3*OFFSET(L$113,MATCH($N$1,$C$113:$C$114,0)-1,0)</f>
        <v>7.3</v>
      </c>
      <c r="M39" s="86">
        <f ca="1">7.7*OFFSET(M$113,MATCH($N$1,$C$113:$C$114,0)-1,0)</f>
        <v>7.7</v>
      </c>
      <c r="N39" s="86"/>
      <c r="O39" s="84" t="str">
        <f t="shared" si="0"/>
        <v/>
      </c>
      <c r="P39" s="84" t="str">
        <f t="shared" si="1"/>
        <v/>
      </c>
    </row>
    <row r="40" spans="1:16" s="78" customFormat="1" ht="18" customHeight="1">
      <c r="A40" s="192"/>
      <c r="B40" s="85" t="s">
        <v>221</v>
      </c>
      <c r="C40" s="86"/>
      <c r="D40" s="86">
        <f ca="1">0.6*OFFSET(D$113,MATCH($N$1,$C$113:$C$114,0)-1,0)</f>
        <v>0.6</v>
      </c>
      <c r="E40" s="86">
        <f ca="1">0.5*OFFSET(E$113,MATCH($N$1,$C$113:$C$114,0)-1,0)</f>
        <v>0.5</v>
      </c>
      <c r="F40" s="86">
        <f ca="1">0.5*OFFSET(F$113,MATCH($N$1,$C$113:$C$114,0)-1,0)</f>
        <v>0.5</v>
      </c>
      <c r="G40" s="86">
        <f ca="1">0.5*OFFSET(G$113,MATCH($N$1,$C$113:$C$114,0)-1,0)</f>
        <v>0.5</v>
      </c>
      <c r="H40" s="86">
        <f ca="1">0.7*OFFSET(H$113,MATCH($N$1,$C$113:$C$114,0)-1,0)</f>
        <v>0.7</v>
      </c>
      <c r="I40" s="86">
        <f ca="1">0.5*OFFSET(I$113,MATCH($N$1,$C$113:$C$114,0)-1,0)</f>
        <v>0.5</v>
      </c>
      <c r="J40" s="86">
        <f ca="1">0.5*OFFSET(J$113,MATCH($N$1,$C$113:$C$114,0)-1,0)</f>
        <v>0.5</v>
      </c>
      <c r="K40" s="86">
        <f ca="1">0.6*OFFSET(K$113,MATCH($N$1,$C$113:$C$114,0)-1,0)</f>
        <v>0.6</v>
      </c>
      <c r="L40" s="86">
        <f ca="1">0.5*OFFSET(L$113,MATCH($N$1,$C$113:$C$114,0)-1,0)</f>
        <v>0.5</v>
      </c>
      <c r="M40" s="86">
        <f ca="1">0.6*OFFSET(M$113,MATCH($N$1,$C$113:$C$114,0)-1,0)</f>
        <v>0.6</v>
      </c>
      <c r="N40" s="86"/>
      <c r="O40" s="84" t="str">
        <f t="shared" si="0"/>
        <v/>
      </c>
      <c r="P40" s="84" t="str">
        <f t="shared" si="1"/>
        <v/>
      </c>
    </row>
    <row r="41" spans="1:16" s="78" customFormat="1" ht="18" customHeight="1">
      <c r="A41" s="192"/>
      <c r="B41" s="85" t="s">
        <v>222</v>
      </c>
      <c r="C41" s="86"/>
      <c r="D41" s="86">
        <f ca="1">0.4*OFFSET(D$113,MATCH($N$1,$C$113:$C$114,0)-1,0)</f>
        <v>0.4</v>
      </c>
      <c r="E41" s="86">
        <f ca="1">0.6*OFFSET(E$113,MATCH($N$1,$C$113:$C$114,0)-1,0)</f>
        <v>0.6</v>
      </c>
      <c r="F41" s="86">
        <f ca="1">0.7*OFFSET(F$113,MATCH($N$1,$C$113:$C$114,0)-1,0)</f>
        <v>0.7</v>
      </c>
      <c r="G41" s="86">
        <f ca="1">0.6*OFFSET(G$113,MATCH($N$1,$C$113:$C$114,0)-1,0)</f>
        <v>0.6</v>
      </c>
      <c r="H41" s="86">
        <f ca="1">0.5*OFFSET(H$113,MATCH($N$1,$C$113:$C$114,0)-1,0)</f>
        <v>0.5</v>
      </c>
      <c r="I41" s="86">
        <f ca="1">0.4*OFFSET(I$113,MATCH($N$1,$C$113:$C$114,0)-1,0)</f>
        <v>0.4</v>
      </c>
      <c r="J41" s="86">
        <f ca="1">0.5*OFFSET(J$113,MATCH($N$1,$C$113:$C$114,0)-1,0)</f>
        <v>0.5</v>
      </c>
      <c r="K41" s="86">
        <f ca="1">0.4*OFFSET(K$113,MATCH($N$1,$C$113:$C$114,0)-1,0)</f>
        <v>0.4</v>
      </c>
      <c r="L41" s="86">
        <f ca="1">0.4*OFFSET(L$113,MATCH($N$1,$C$113:$C$114,0)-1,0)</f>
        <v>0.4</v>
      </c>
      <c r="M41" s="86">
        <f ca="1">0.6*OFFSET(M$113,MATCH($N$1,$C$113:$C$114,0)-1,0)</f>
        <v>0.6</v>
      </c>
      <c r="N41" s="86"/>
      <c r="O41" s="84" t="str">
        <f t="shared" si="0"/>
        <v/>
      </c>
      <c r="P41" s="84" t="str">
        <f t="shared" si="1"/>
        <v/>
      </c>
    </row>
    <row r="42" spans="1:16" s="78" customFormat="1" ht="18" customHeight="1" thickBot="1">
      <c r="A42" s="193"/>
      <c r="B42" s="89" t="s">
        <v>223</v>
      </c>
      <c r="C42" s="90"/>
      <c r="D42" s="90">
        <f ca="1">7.6*OFFSET(D$113,MATCH($N$1,$C$113:$C$114,0)-1,0)</f>
        <v>7.6</v>
      </c>
      <c r="E42" s="90">
        <f ca="1">9.1*OFFSET(E$113,MATCH($N$1,$C$113:$C$114,0)-1,0)</f>
        <v>9.1</v>
      </c>
      <c r="F42" s="90">
        <f ca="1">7.3*OFFSET(F$113,MATCH($N$1,$C$113:$C$114,0)-1,0)</f>
        <v>7.3</v>
      </c>
      <c r="G42" s="90">
        <f ca="1">6.9*OFFSET(G$113,MATCH($N$1,$C$113:$C$114,0)-1,0)</f>
        <v>6.9</v>
      </c>
      <c r="H42" s="90">
        <f ca="1">17.8*OFFSET(H$113,MATCH($N$1,$C$113:$C$114,0)-1,0)</f>
        <v>17.8</v>
      </c>
      <c r="I42" s="90">
        <f ca="1">16.2*OFFSET(I$113,MATCH($N$1,$C$113:$C$114,0)-1,0)</f>
        <v>16.2</v>
      </c>
      <c r="J42" s="90">
        <f ca="1">17*OFFSET(J$113,MATCH($N$1,$C$113:$C$114,0)-1,0)</f>
        <v>17</v>
      </c>
      <c r="K42" s="90">
        <f ca="1">15.3*OFFSET(K$113,MATCH($N$1,$C$113:$C$114,0)-1,0)</f>
        <v>15.3</v>
      </c>
      <c r="L42" s="90">
        <f ca="1">12.2*OFFSET(L$113,MATCH($N$1,$C$113:$C$114,0)-1,0)</f>
        <v>12.2</v>
      </c>
      <c r="M42" s="90">
        <f ca="1">14.6*OFFSET(M$113,MATCH($N$1,$C$113:$C$114,0)-1,0)</f>
        <v>14.6</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Under 10m pots and traps</v>
      </c>
      <c r="C49" s="101"/>
      <c r="D49" s="101"/>
      <c r="E49" s="101"/>
      <c r="F49" s="101"/>
      <c r="G49" s="101"/>
      <c r="K49" s="101" t="str">
        <f>$B25&amp;CHAR(10)&amp;$A$1</f>
        <v>Operating profit per kW day at sea (£)
Under 10m pots and traps</v>
      </c>
    </row>
    <row r="50" spans="1:11" s="78" customFormat="1">
      <c r="A50" s="101" t="str">
        <f>$B23&amp;CHAR(10)&amp;$A$1</f>
        <v>Fishing income per kW day at sea (£)
Under 10m pots and traps</v>
      </c>
    </row>
    <row r="51" spans="1:11" s="78" customFormat="1">
      <c r="A51" s="101" t="str">
        <f>$B21&amp;CHAR(10)&amp;$A$1</f>
        <v>Average price per tonne landed (£)
Under 10m pots and traps</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Under 10m pots and traps</v>
      </c>
      <c r="F63" s="101" t="str">
        <f>$B21&amp;CHAR(10)&amp;$A$1</f>
        <v>Average price per tonne landed (£)
Under 10m pots and traps</v>
      </c>
      <c r="K63" s="101" t="str">
        <f>"Average annual operating profit per vessel (£'000)"&amp;CHAR(10)&amp;$A$1</f>
        <v>Average annual operating profit per vessel (£'000)
Under 10m pots and traps</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Under 10m pots and traps</v>
      </c>
      <c r="F77" s="101" t="str">
        <f>"Top 5 landed species by value in "&amp;A78&amp;CHAR(10)&amp;A1</f>
        <v>Top 5 landed species by value in 2021
Under 10m pots and traps</v>
      </c>
    </row>
    <row r="78" spans="1:11" s="101" customFormat="1">
      <c r="A78" s="101">
        <v>2021</v>
      </c>
      <c r="B78" s="101" t="s">
        <v>605</v>
      </c>
      <c r="C78" s="102">
        <v>0.41099338252606704</v>
      </c>
      <c r="D78" s="103">
        <v>3050596</v>
      </c>
      <c r="G78" s="101" t="s">
        <v>606</v>
      </c>
      <c r="H78" s="102">
        <v>0.37911162559383682</v>
      </c>
      <c r="I78" s="103">
        <v>12153634</v>
      </c>
      <c r="K78" s="101" t="s">
        <v>237</v>
      </c>
    </row>
    <row r="79" spans="1:11" s="101" customFormat="1">
      <c r="B79" s="101" t="s">
        <v>607</v>
      </c>
      <c r="C79" s="102">
        <v>0.30268222174459958</v>
      </c>
      <c r="D79" s="103">
        <v>553960</v>
      </c>
      <c r="G79" s="101" t="s">
        <v>608</v>
      </c>
      <c r="H79" s="102">
        <v>0.19209878293443172</v>
      </c>
      <c r="I79" s="103">
        <v>553960</v>
      </c>
    </row>
    <row r="80" spans="1:11" s="101" customFormat="1">
      <c r="B80" s="101" t="s">
        <v>609</v>
      </c>
      <c r="C80" s="102">
        <v>8.8940003063745346E-2</v>
      </c>
      <c r="D80" s="103">
        <v>12153634</v>
      </c>
      <c r="G80" s="101" t="s">
        <v>610</v>
      </c>
      <c r="H80" s="102">
        <v>0.12402699566055134</v>
      </c>
      <c r="I80" s="103">
        <v>3050596</v>
      </c>
    </row>
    <row r="81" spans="1:19" s="101" customFormat="1">
      <c r="B81" s="101" t="s">
        <v>611</v>
      </c>
      <c r="C81" s="102">
        <v>7.2119375093154414E-2</v>
      </c>
      <c r="D81" s="103">
        <v>3689192</v>
      </c>
      <c r="G81" s="101" t="s">
        <v>612</v>
      </c>
      <c r="H81" s="102">
        <v>0.11145212474937194</v>
      </c>
      <c r="I81" s="103">
        <v>1692097</v>
      </c>
    </row>
    <row r="82" spans="1:19" s="101" customFormat="1">
      <c r="B82" s="101" t="s">
        <v>613</v>
      </c>
      <c r="C82" s="102">
        <v>3.8874621712054018E-2</v>
      </c>
      <c r="D82" s="103">
        <v>1692097</v>
      </c>
      <c r="G82" s="115">
        <v>-6.8000000000000005E-2</v>
      </c>
      <c r="H82" s="102">
        <v>6.8202241873764502E-2</v>
      </c>
      <c r="I82" s="103">
        <v>1692097</v>
      </c>
    </row>
    <row r="83" spans="1:19" s="101" customFormat="1">
      <c r="B83" s="101" t="s">
        <v>614</v>
      </c>
      <c r="C83" s="102">
        <v>8.6390395860379443E-2</v>
      </c>
      <c r="D83" s="103">
        <v>5920853</v>
      </c>
      <c r="G83" s="101" t="s">
        <v>615</v>
      </c>
      <c r="H83" s="102">
        <v>0.12510822918804365</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166</v>
      </c>
      <c r="D93" s="107">
        <v>0.34003652663415679</v>
      </c>
      <c r="E93" s="107">
        <v>0.36419418406921011</v>
      </c>
      <c r="F93" s="107">
        <v>0.35296323450458078</v>
      </c>
      <c r="G93" s="107">
        <v>0.35434603963892797</v>
      </c>
      <c r="H93" s="107">
        <v>0.3958650977857554</v>
      </c>
      <c r="I93" s="107">
        <v>0.34332332311956221</v>
      </c>
      <c r="J93" s="107">
        <v>0.33196366762313334</v>
      </c>
      <c r="K93" s="107">
        <v>0.33322941953803242</v>
      </c>
      <c r="L93" s="107">
        <v>0.37911162559383682</v>
      </c>
      <c r="M93" s="107">
        <v>0.39293514118475253</v>
      </c>
      <c r="O93" s="101">
        <v>12153634</v>
      </c>
    </row>
    <row r="94" spans="1:19" s="101" customFormat="1" hidden="1">
      <c r="B94" s="101">
        <v>2</v>
      </c>
      <c r="C94" s="101" t="s">
        <v>174</v>
      </c>
      <c r="D94" s="107">
        <v>0.21913460467890972</v>
      </c>
      <c r="E94" s="107">
        <v>0.21996905331399605</v>
      </c>
      <c r="F94" s="107">
        <v>0.19513409480648133</v>
      </c>
      <c r="G94" s="107">
        <v>0.18786130937271933</v>
      </c>
      <c r="H94" s="107">
        <v>0.23520273909888675</v>
      </c>
      <c r="I94" s="107">
        <v>0.2661791796973853</v>
      </c>
      <c r="J94" s="107">
        <v>0.25243416361680987</v>
      </c>
      <c r="K94" s="107">
        <v>0.17593775832740485</v>
      </c>
      <c r="L94" s="107">
        <v>0.19209878293443172</v>
      </c>
      <c r="M94" s="107">
        <v>0.20089617958402789</v>
      </c>
      <c r="O94" s="101">
        <v>553960</v>
      </c>
    </row>
    <row r="95" spans="1:19" s="101" customFormat="1" hidden="1">
      <c r="B95" s="101">
        <v>3</v>
      </c>
      <c r="C95" s="101" t="s">
        <v>308</v>
      </c>
      <c r="D95" s="107">
        <v>0.15137428864624347</v>
      </c>
      <c r="E95" s="107">
        <v>0.14810159426481262</v>
      </c>
      <c r="F95" s="107">
        <v>0.16970908477680197</v>
      </c>
      <c r="G95" s="107">
        <v>0.15691859691569113</v>
      </c>
      <c r="H95" s="107">
        <v>0.14960500826049361</v>
      </c>
      <c r="I95" s="107">
        <v>0.11895798980968077</v>
      </c>
      <c r="J95" s="107">
        <v>0.13530044921453477</v>
      </c>
      <c r="K95" s="107">
        <v>0.17073030919335144</v>
      </c>
      <c r="L95" s="107">
        <v>0.12402699566055134</v>
      </c>
      <c r="M95" s="107">
        <v>9.1526213941931722E-2</v>
      </c>
      <c r="O95" s="101">
        <v>3050596</v>
      </c>
    </row>
    <row r="96" spans="1:19" s="101" customFormat="1" hidden="1">
      <c r="B96" s="101">
        <v>4</v>
      </c>
      <c r="C96" s="101" t="s">
        <v>159</v>
      </c>
      <c r="D96" s="107">
        <v>0.15990272546177953</v>
      </c>
      <c r="E96" s="107">
        <v>0.13795101368633267</v>
      </c>
      <c r="F96" s="107">
        <v>0.13848288586096147</v>
      </c>
      <c r="G96" s="107">
        <v>0.13281612831795953</v>
      </c>
      <c r="H96" s="107">
        <v>8.2233423597664904E-2</v>
      </c>
      <c r="I96" s="107">
        <v>0.13122629878249964</v>
      </c>
      <c r="J96" s="107">
        <v>0.11925742096401275</v>
      </c>
      <c r="K96" s="107">
        <v>0.12586536118157318</v>
      </c>
      <c r="L96" s="107">
        <v>0.11145212474937194</v>
      </c>
      <c r="M96" s="107">
        <v>0.12991425596468015</v>
      </c>
      <c r="O96" s="101">
        <v>1692097</v>
      </c>
    </row>
    <row r="97" spans="1:15" s="101" customFormat="1" hidden="1">
      <c r="B97" s="101">
        <v>5</v>
      </c>
      <c r="C97" s="101" t="s">
        <v>397</v>
      </c>
      <c r="D97" s="107">
        <v>5.9482192273110968E-2</v>
      </c>
      <c r="E97" s="107">
        <v>5.7562983323076494E-2</v>
      </c>
      <c r="F97" s="107">
        <v>5.6248885906698916E-2</v>
      </c>
      <c r="G97" s="107">
        <v>5.4922828850267169E-2</v>
      </c>
      <c r="H97" s="107">
        <v>5.7671576801155026E-2</v>
      </c>
      <c r="I97" s="107">
        <v>4.782274144942928E-2</v>
      </c>
      <c r="J97" s="107">
        <v>4.9533016767458402E-2</v>
      </c>
      <c r="K97" s="107"/>
      <c r="L97" s="107"/>
      <c r="M97" s="107"/>
      <c r="O97" s="101">
        <v>3689192</v>
      </c>
    </row>
    <row r="98" spans="1:15" s="101" customFormat="1" hidden="1">
      <c r="B98" s="101">
        <v>6</v>
      </c>
      <c r="C98" s="101" t="s">
        <v>251</v>
      </c>
      <c r="D98" s="107">
        <v>7.0069662305799529E-2</v>
      </c>
      <c r="E98" s="107">
        <v>7.2221171342572082E-2</v>
      </c>
      <c r="F98" s="107">
        <v>8.7461814144475541E-2</v>
      </c>
      <c r="G98" s="107">
        <v>0.11313509690443488</v>
      </c>
      <c r="H98" s="107">
        <v>7.9422154456044336E-2</v>
      </c>
      <c r="I98" s="107">
        <v>9.2490467141442823E-2</v>
      </c>
      <c r="J98" s="107">
        <v>0.11151128181405086</v>
      </c>
      <c r="K98" s="107">
        <v>0.13598756284971927</v>
      </c>
      <c r="L98" s="107">
        <v>0.12510822918804371</v>
      </c>
      <c r="M98" s="107">
        <v>0.11138916739611357</v>
      </c>
      <c r="O98" s="101">
        <v>5920853</v>
      </c>
    </row>
    <row r="99" spans="1:15" s="101" customFormat="1" hidden="1">
      <c r="B99" s="101">
        <v>7</v>
      </c>
      <c r="D99" s="107"/>
      <c r="E99" s="107"/>
      <c r="F99" s="107"/>
      <c r="G99" s="107"/>
      <c r="H99" s="107"/>
      <c r="I99" s="107"/>
      <c r="J99" s="107"/>
      <c r="K99" s="107"/>
      <c r="L99" s="107"/>
      <c r="M99" s="107"/>
      <c r="O99" s="101">
        <v>2480382</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7</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292</v>
      </c>
      <c r="D121" s="52">
        <v>583</v>
      </c>
      <c r="E121" s="52">
        <v>292</v>
      </c>
      <c r="F121" s="53">
        <v>1167</v>
      </c>
    </row>
    <row r="122" spans="1:15" ht="18" customHeight="1">
      <c r="A122" s="186" t="s">
        <v>198</v>
      </c>
      <c r="B122" s="35" t="s">
        <v>199</v>
      </c>
      <c r="C122" s="54">
        <v>7.9148974418640137</v>
      </c>
      <c r="D122" s="54">
        <v>8.1365352699319047</v>
      </c>
      <c r="E122" s="54">
        <v>7.7641782760620117</v>
      </c>
      <c r="F122" s="55">
        <v>7.9879093170166016</v>
      </c>
    </row>
    <row r="123" spans="1:15" ht="18" customHeight="1">
      <c r="A123" s="187"/>
      <c r="B123" s="37" t="s">
        <v>190</v>
      </c>
      <c r="C123" s="56">
        <v>74.226806640625</v>
      </c>
      <c r="D123" s="56">
        <v>84.643223338838709</v>
      </c>
      <c r="E123" s="56">
        <v>70.336769104003906</v>
      </c>
      <c r="F123" s="57">
        <v>78.467811584472656</v>
      </c>
    </row>
    <row r="124" spans="1:15" ht="18" customHeight="1">
      <c r="A124" s="187"/>
      <c r="B124" s="37" t="s">
        <v>191</v>
      </c>
      <c r="C124" s="56">
        <v>4.3565859794616699</v>
      </c>
      <c r="D124" s="56">
        <v>4.7136763005068536</v>
      </c>
      <c r="E124" s="56">
        <v>4.138453483581543</v>
      </c>
      <c r="F124" s="57">
        <v>4.4807910919189453</v>
      </c>
    </row>
    <row r="125" spans="1:15" ht="18" customHeight="1">
      <c r="A125" s="187"/>
      <c r="B125" s="37" t="s">
        <v>192</v>
      </c>
      <c r="C125" s="56">
        <v>58.6820068359375</v>
      </c>
      <c r="D125" s="56">
        <v>65.302439262691124</v>
      </c>
      <c r="E125" s="56">
        <v>55.574214935302734</v>
      </c>
      <c r="F125" s="57">
        <v>61.216606140136719</v>
      </c>
    </row>
    <row r="126" spans="1:15" ht="18" customHeight="1">
      <c r="A126" s="187"/>
      <c r="B126" s="37" t="s">
        <v>193</v>
      </c>
      <c r="C126" s="33">
        <v>28.043701171875</v>
      </c>
      <c r="D126" s="33">
        <v>18.879840867188129</v>
      </c>
      <c r="E126" s="33">
        <v>8.577570915222168</v>
      </c>
      <c r="F126" s="58">
        <v>18.594993591308594</v>
      </c>
    </row>
    <row r="127" spans="1:15" ht="18" customHeight="1">
      <c r="A127" s="187"/>
      <c r="B127" s="37" t="s">
        <v>200</v>
      </c>
      <c r="C127" s="33">
        <f ca="1">116.8440078125*OFFSET($L$113,MATCH($N$1,$C$113:$C$114,0)-1,0)</f>
        <v>116.8440078125</v>
      </c>
      <c r="D127" s="33">
        <f ca="1">68.505781692217*OFFSET($L$113,MATCH($N$1,$C$113:$C$114,0)-1,0)</f>
        <v>68.505781692216999</v>
      </c>
      <c r="E127" s="33">
        <f ca="1">32.0245*OFFSET($L$113,MATCH($N$1,$C$113:$C$114,0)-1,0)</f>
        <v>32.024500000000003</v>
      </c>
      <c r="F127" s="58">
        <f ca="1">71.4725546875*OFFSET($L$113,MATCH($N$1,$C$113:$C$114,0)-1,0)</f>
        <v>71.472554687499994</v>
      </c>
    </row>
    <row r="128" spans="1:15" ht="18" customHeight="1">
      <c r="A128" s="187"/>
      <c r="B128" s="37" t="s">
        <v>195</v>
      </c>
      <c r="C128" s="56">
        <v>54.729450225830078</v>
      </c>
      <c r="D128" s="56">
        <v>80.723842876035192</v>
      </c>
      <c r="E128" s="56">
        <v>97.921234130859375</v>
      </c>
      <c r="F128" s="57">
        <v>78.522705078125</v>
      </c>
    </row>
    <row r="129" spans="1:15" ht="18" customHeight="1">
      <c r="A129" s="187"/>
      <c r="B129" s="37" t="s">
        <v>201</v>
      </c>
      <c r="C129" s="56">
        <v>21.568492889404297</v>
      </c>
      <c r="D129" s="56">
        <v>22.778730487332744</v>
      </c>
      <c r="E129" s="56">
        <v>26.763698577880859</v>
      </c>
      <c r="F129" s="57">
        <v>23.473007202148438</v>
      </c>
    </row>
    <row r="130" spans="1:15" ht="18" customHeight="1">
      <c r="A130" s="187"/>
      <c r="B130" s="37" t="s">
        <v>202</v>
      </c>
      <c r="C130" s="59">
        <v>0.51240605115890503</v>
      </c>
      <c r="D130" s="59">
        <v>0.23388183954747108</v>
      </c>
      <c r="E130" s="59">
        <v>8.759663999080658E-2</v>
      </c>
      <c r="F130" s="60">
        <v>0.23681040108203888</v>
      </c>
    </row>
    <row r="131" spans="1:15" ht="18" customHeight="1">
      <c r="A131" s="188"/>
      <c r="B131" s="39" t="s">
        <v>203</v>
      </c>
      <c r="C131" s="40">
        <f ca="1">4166.4973926367*OFFSET($L$113,MATCH($N$1,$C$113:$C$114,0)-1,0)</f>
        <v>4166.4973926367002</v>
      </c>
      <c r="D131" s="40">
        <f ca="1">3628.51478326151*OFFSET($L$113,MATCH($N$1,$C$113:$C$114,0)-1,0)</f>
        <v>3628.5147832615098</v>
      </c>
      <c r="E131" s="40">
        <f ca="1">3733.51620365712*OFFSET($L$113,MATCH($N$1,$C$113:$C$114,0)-1,0)</f>
        <v>3733.5162036571201</v>
      </c>
      <c r="F131" s="61">
        <f ca="1">3844*OFFSET($L$113,MATCH($N$1,$C$113:$C$114,0)-1,0)</f>
        <v>3844</v>
      </c>
    </row>
    <row r="132" spans="1:15" ht="18" customHeight="1">
      <c r="A132" s="198" t="s">
        <v>204</v>
      </c>
      <c r="B132" s="35" t="s">
        <v>205</v>
      </c>
      <c r="C132" s="62">
        <v>5.6734289594747453</v>
      </c>
      <c r="D132" s="62">
        <v>2.4762981436244011</v>
      </c>
      <c r="E132" s="62">
        <v>1.2365490025720163</v>
      </c>
      <c r="F132" s="63">
        <v>2.7415102821716637</v>
      </c>
    </row>
    <row r="133" spans="1:15" ht="18" customHeight="1">
      <c r="A133" s="199"/>
      <c r="B133" s="37" t="s">
        <v>206</v>
      </c>
      <c r="C133" s="59">
        <f ca="1">23.6383269669611*OFFSET($L$113,MATCH($N$1,$C$113:$C$114,0)-1,0)</f>
        <v>23.638326966961099</v>
      </c>
      <c r="D133" s="59">
        <f ca="1">8.98528442190418*OFFSET($L$113,MATCH($N$1,$C$113:$C$114,0)-1,0)</f>
        <v>8.9852844219041792</v>
      </c>
      <c r="E133" s="59">
        <f ca="1">4.61667573771867*OFFSET($L$113,MATCH($N$1,$C$113:$C$114,0)-1,0)</f>
        <v>4.61667573771867</v>
      </c>
      <c r="F133" s="60">
        <f ca="1">10.5373923689031*OFFSET($L$113,MATCH($N$1,$C$113:$C$114,0)-1,0)</f>
        <v>10.537392368903101</v>
      </c>
    </row>
    <row r="134" spans="1:15" ht="18" customHeight="1">
      <c r="A134" s="199"/>
      <c r="B134" s="37" t="s">
        <v>153</v>
      </c>
      <c r="C134" s="59">
        <f ca="1">14.7857487961121*OFFSET($L$113,MATCH($N$1,$C$113:$C$114,0)-1,0)</f>
        <v>14.785748796112101</v>
      </c>
      <c r="D134" s="59">
        <f ca="1">6.14222613043976*OFFSET($L$113,MATCH($N$1,$C$113:$C$114,0)-1,0)</f>
        <v>6.1422261304397603</v>
      </c>
      <c r="E134" s="59">
        <f ca="1">3.6665312109418*OFFSET($L$113,MATCH($N$1,$C$113:$C$114,0)-1,0)</f>
        <v>3.6665312109418</v>
      </c>
      <c r="F134" s="60">
        <f ca="1">7.08351307093911*OFFSET($L$113,MATCH($N$1,$C$113:$C$114,0)-1,0)</f>
        <v>7.0835130709391096</v>
      </c>
    </row>
    <row r="135" spans="1:15" ht="18" customHeight="1">
      <c r="A135" s="200"/>
      <c r="B135" s="39" t="s">
        <v>154</v>
      </c>
      <c r="C135" s="64">
        <f ca="1">8.85257817084901*OFFSET($L$113,MATCH($N$1,$C$113:$C$114,0)-1,0)</f>
        <v>8.8525781708490108</v>
      </c>
      <c r="D135" s="64">
        <f ca="1">2.84305829146442*OFFSET($L$113,MATCH($N$1,$C$113:$C$114,0)-1,0)</f>
        <v>2.8430582914644198</v>
      </c>
      <c r="E135" s="64">
        <f ca="1">0.950144526776873*OFFSET($L$113,MATCH($N$1,$C$113:$C$114,0)-1,0)</f>
        <v>0.950144526776873</v>
      </c>
      <c r="F135" s="65">
        <f ca="1">3.45387929796402*OFFSET($L$113,MATCH($N$1,$C$113:$C$114,0)-1,0)</f>
        <v>3.4538792979640198</v>
      </c>
    </row>
    <row r="136" spans="1:15" ht="18" customHeight="1">
      <c r="A136" s="201" t="s">
        <v>260</v>
      </c>
      <c r="B136" s="37" t="s">
        <v>261</v>
      </c>
      <c r="C136" s="66">
        <f ca="1">3.67341015625*OFFSET($L$113,MATCH($N$1,$C$113:$C$114,0)-1,0)</f>
        <v>3.6734101562500001</v>
      </c>
      <c r="D136" s="66">
        <f ca="1">5.73725732505628*OFFSET($L$113,MATCH($N$1,$C$113:$C$114,0)-1,0)</f>
        <v>5.7372573250562802</v>
      </c>
      <c r="E136" s="66">
        <f ca="1">6.21839208984375*OFFSET($L$113,MATCH($N$1,$C$113:$C$114,0)-1,0)</f>
        <v>6.2183920898437499</v>
      </c>
      <c r="F136" s="67">
        <f ca="1">5.341240234375*OFFSET($L$113,MATCH($N$1,$C$113:$C$114,0)-1,0)</f>
        <v>5.3412402343750003</v>
      </c>
    </row>
    <row r="137" spans="1:15" ht="18" customHeight="1">
      <c r="A137" s="202"/>
      <c r="B137" s="37" t="s">
        <v>262</v>
      </c>
      <c r="C137" s="31">
        <v>7697.8079092040998</v>
      </c>
      <c r="D137" s="31">
        <v>12001.578485369238</v>
      </c>
      <c r="E137" s="31">
        <v>12993.835191006772</v>
      </c>
      <c r="F137" s="68">
        <v>11172.990574121679</v>
      </c>
    </row>
    <row r="138" spans="1:15" ht="18" customHeight="1">
      <c r="A138" s="202"/>
      <c r="B138" s="37" t="s">
        <v>263</v>
      </c>
      <c r="C138" s="31">
        <v>140.65202331542969</v>
      </c>
      <c r="D138" s="31">
        <v>148.67451867720973</v>
      </c>
      <c r="E138" s="31">
        <v>132.69680786132813</v>
      </c>
      <c r="F138" s="68">
        <v>142.28993225097656</v>
      </c>
    </row>
    <row r="139" spans="1:15" ht="18" customHeight="1">
      <c r="A139" s="202"/>
      <c r="B139" s="37" t="s">
        <v>264</v>
      </c>
      <c r="C139" s="31">
        <f ca="1">67.1194419292065*OFFSET($L$113,MATCH($N$1,$C$113:$C$114,0)-1,0)</f>
        <v>67.119441929206502</v>
      </c>
      <c r="D139" s="31">
        <f ca="1">71.0726486828283*OFFSET($L$113,MATCH($N$1,$C$113:$C$114,0)-1,0)</f>
        <v>71.072648682828302</v>
      </c>
      <c r="E139" s="31">
        <f ca="1">63.5040208085373*OFFSET($L$113,MATCH($N$1,$C$113:$C$114,0)-1,0)</f>
        <v>63.504020808537298</v>
      </c>
      <c r="F139" s="68">
        <f ca="1">68.0216025296226*OFFSET($L$113,MATCH($N$1,$C$113:$C$114,0)-1,0)</f>
        <v>68.021602529622598</v>
      </c>
      <c r="I139" s="43"/>
      <c r="L139" s="69" t="str">
        <f>C120</f>
        <v>Most
profitable
quartile</v>
      </c>
      <c r="M139" s="69" t="str">
        <f>D120</f>
        <v>Middle
two quartiles</v>
      </c>
      <c r="N139" s="69" t="str">
        <f>E120</f>
        <v>Least
profitable
quartile</v>
      </c>
      <c r="O139" s="69"/>
    </row>
    <row r="140" spans="1:15" ht="18" customHeight="1">
      <c r="A140" s="202"/>
      <c r="B140" s="37" t="s">
        <v>265</v>
      </c>
      <c r="C140" s="31">
        <f ca="1">130.988778326238*OFFSET($L$113,MATCH($N$1,$C$113:$C$114,0)-1,0)</f>
        <v>130.98877832623799</v>
      </c>
      <c r="D140" s="31">
        <f ca="1">303.882716248273*OFFSET($L$113,MATCH($N$1,$C$113:$C$114,0)-1,0)</f>
        <v>303.88271624827303</v>
      </c>
      <c r="E140" s="31">
        <f ca="1">724.959566211023*OFFSET($L$113,MATCH($N$1,$C$113:$C$114,0)-1,0)</f>
        <v>724.959566211023</v>
      </c>
      <c r="F140" s="68">
        <f ca="1">287.240767690908*OFFSET($L$113,MATCH($N$1,$C$113:$C$114,0)-1,0)</f>
        <v>287.240767690908</v>
      </c>
      <c r="I140" s="43"/>
      <c r="K140" s="69" t="s">
        <v>266</v>
      </c>
      <c r="L140" s="70">
        <f t="shared" ref="L140:M142" ca="1" si="2">C141</f>
        <v>123.2526015625</v>
      </c>
      <c r="M140" s="70">
        <f t="shared" ca="1" si="2"/>
        <v>71.867294864922798</v>
      </c>
      <c r="N140" s="70">
        <f ca="1">E141</f>
        <v>33.590210937499997</v>
      </c>
      <c r="O140" s="70"/>
    </row>
    <row r="141" spans="1:15" ht="18" customHeight="1">
      <c r="A141" s="179" t="s">
        <v>267</v>
      </c>
      <c r="B141" s="35" t="s">
        <v>268</v>
      </c>
      <c r="C141" s="71">
        <f ca="1">123.2526015625*OFFSET($L$113,MATCH($N$1,$C$113:$C$114,0)-1,0)</f>
        <v>123.2526015625</v>
      </c>
      <c r="D141" s="71">
        <f ca="1">71.8672948649228*OFFSET($L$113,MATCH($N$1,$C$113:$C$114,0)-1,0)</f>
        <v>71.867294864922798</v>
      </c>
      <c r="E141" s="71">
        <f ca="1">33.5902109375*OFFSET($L$113,MATCH($N$1,$C$113:$C$114,0)-1,0)</f>
        <v>33.590210937499997</v>
      </c>
      <c r="F141" s="72">
        <f ca="1">75.14715625*OFFSET($L$113,MATCH($N$1,$C$113:$C$114,0)-1,0)</f>
        <v>75.147156249999995</v>
      </c>
      <c r="I141" s="43"/>
      <c r="K141" s="69" t="s">
        <v>269</v>
      </c>
      <c r="L141" s="70">
        <f t="shared" ca="1" si="2"/>
        <v>79.494398437499996</v>
      </c>
      <c r="M141" s="70">
        <f t="shared" ca="1" si="2"/>
        <v>50.191194086352901</v>
      </c>
      <c r="N141" s="70">
        <f ca="1">E142</f>
        <v>26.999339843750001</v>
      </c>
      <c r="O141" s="70"/>
    </row>
    <row r="142" spans="1:15" ht="18" customHeight="1">
      <c r="A142" s="180"/>
      <c r="B142" s="37" t="s">
        <v>270</v>
      </c>
      <c r="C142" s="31">
        <f ca="1">79.4943984375*OFFSET($L$113,MATCH($N$1,$C$113:$C$114,0)-1,0)</f>
        <v>79.494398437499996</v>
      </c>
      <c r="D142" s="31">
        <f ca="1">50.1911940863529*OFFSET($L$113,MATCH($N$1,$C$113:$C$114,0)-1,0)</f>
        <v>50.191194086352901</v>
      </c>
      <c r="E142" s="31">
        <f ca="1">26.99933984375*OFFSET($L$113,MATCH($N$1,$C$113:$C$114,0)-1,0)</f>
        <v>26.999339843750001</v>
      </c>
      <c r="F142" s="68">
        <f ca="1">51.72033984375*OFFSET($L$113,MATCH($N$1,$C$113:$C$114,0)-1,0)</f>
        <v>51.720339843749997</v>
      </c>
      <c r="I142" s="43"/>
      <c r="K142" s="69" t="s">
        <v>271</v>
      </c>
      <c r="L142" s="70">
        <f t="shared" ca="1" si="2"/>
        <v>43.758203125000001</v>
      </c>
      <c r="M142" s="70">
        <f t="shared" ca="1" si="2"/>
        <v>21.6761007785699</v>
      </c>
      <c r="N142" s="70">
        <f ca="1">E143</f>
        <v>6.5908710937499997</v>
      </c>
      <c r="O142" s="70"/>
    </row>
    <row r="143" spans="1:15" ht="18" customHeight="1">
      <c r="A143" s="181"/>
      <c r="B143" s="39" t="s">
        <v>272</v>
      </c>
      <c r="C143" s="40">
        <f ca="1">43.758203125*OFFSET($L$113,MATCH($N$1,$C$113:$C$114,0)-1,0)</f>
        <v>43.758203125000001</v>
      </c>
      <c r="D143" s="40">
        <f ca="1">21.6761007785699*OFFSET($L$113,MATCH($N$1,$C$113:$C$114,0)-1,0)</f>
        <v>21.6761007785699</v>
      </c>
      <c r="E143" s="40">
        <f ca="1">6.59087109375*OFFSET($L$113,MATCH($N$1,$C$113:$C$114,0)-1,0)</f>
        <v>6.5908710937499997</v>
      </c>
      <c r="F143" s="61">
        <f ca="1">23.426818359375*OFFSET($L$113,MATCH($N$1,$C$113:$C$114,0)-1,0)</f>
        <v>23.426818359375002</v>
      </c>
      <c r="I143" s="43"/>
      <c r="K143" s="69" t="s">
        <v>273</v>
      </c>
      <c r="L143" s="73">
        <f ca="1">IFERROR(L141/L$140,"")</f>
        <v>0.64497136311714509</v>
      </c>
      <c r="M143" s="73">
        <f t="shared" ref="M143:N144" ca="1" si="3">IFERROR(M141/M$140,"")</f>
        <v>0.69838713396252194</v>
      </c>
      <c r="N143" s="73">
        <f t="shared" ca="1" si="3"/>
        <v>0.8037859569857011</v>
      </c>
      <c r="O143" s="73"/>
    </row>
    <row r="144" spans="1:15" ht="18" customHeight="1">
      <c r="I144" s="43"/>
      <c r="K144" s="69" t="s">
        <v>274</v>
      </c>
      <c r="L144" s="73">
        <f ca="1">IFERROR(L142/L$140,"")</f>
        <v>0.35502863688285485</v>
      </c>
      <c r="M144" s="73">
        <f t="shared" ca="1" si="3"/>
        <v>0.30161286603747811</v>
      </c>
      <c r="N144" s="73">
        <f t="shared" ca="1" si="3"/>
        <v>0.19621404301429896</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8</v>
      </c>
      <c r="B162" s="48"/>
      <c r="C162" s="74" t="s">
        <v>255</v>
      </c>
      <c r="D162" s="74" t="s">
        <v>276</v>
      </c>
      <c r="E162" s="74" t="s">
        <v>257</v>
      </c>
      <c r="F162" s="74" t="s">
        <v>277</v>
      </c>
      <c r="G162" s="75">
        <v>7</v>
      </c>
      <c r="H162" s="74"/>
      <c r="I162" s="74" t="s">
        <v>255</v>
      </c>
      <c r="J162" s="74" t="s">
        <v>276</v>
      </c>
      <c r="K162" s="74" t="s">
        <v>257</v>
      </c>
      <c r="L162" s="48" t="s">
        <v>277</v>
      </c>
      <c r="R162" s="21"/>
      <c r="S162" s="21"/>
    </row>
    <row r="163" spans="1:19" s="43" customFormat="1">
      <c r="A163" s="44">
        <v>1</v>
      </c>
      <c r="B163" s="48" t="s">
        <v>308</v>
      </c>
      <c r="C163" s="48">
        <v>0.52152340330228253</v>
      </c>
      <c r="D163" s="48">
        <v>0.38799304764876869</v>
      </c>
      <c r="E163" s="48">
        <v>0.19372365801157593</v>
      </c>
      <c r="F163" s="44">
        <v>3050596</v>
      </c>
      <c r="G163" s="44">
        <v>1</v>
      </c>
      <c r="H163" s="48" t="s">
        <v>166</v>
      </c>
      <c r="I163" s="48">
        <v>0.36910273396108056</v>
      </c>
      <c r="J163" s="48">
        <v>0.39481008184463562</v>
      </c>
      <c r="K163" s="48">
        <v>0.39773327493972399</v>
      </c>
      <c r="L163" s="44">
        <v>12153634</v>
      </c>
      <c r="R163" s="21"/>
      <c r="S163" s="21"/>
    </row>
    <row r="164" spans="1:19" s="43" customFormat="1">
      <c r="A164" s="44">
        <v>2</v>
      </c>
      <c r="B164" s="48" t="s">
        <v>174</v>
      </c>
      <c r="C164" s="48">
        <v>0.26222873481671655</v>
      </c>
      <c r="D164" s="48">
        <v>0.34340117722850333</v>
      </c>
      <c r="E164" s="48">
        <v>0.29407569843949471</v>
      </c>
      <c r="F164" s="44">
        <v>553960</v>
      </c>
      <c r="G164" s="44">
        <v>2</v>
      </c>
      <c r="H164" s="48" t="s">
        <v>174</v>
      </c>
      <c r="I164" s="48">
        <v>0.14963589219395321</v>
      </c>
      <c r="J164" s="48">
        <v>0.23861040582989981</v>
      </c>
      <c r="K164" s="48">
        <v>0.17808221833680707</v>
      </c>
      <c r="L164" s="44">
        <v>553960</v>
      </c>
      <c r="N164" s="43" t="s">
        <v>278</v>
      </c>
      <c r="R164" s="21"/>
      <c r="S164" s="21"/>
    </row>
    <row r="165" spans="1:19" s="43" customFormat="1">
      <c r="A165" s="44">
        <v>3</v>
      </c>
      <c r="B165" s="48" t="s">
        <v>166</v>
      </c>
      <c r="C165" s="48">
        <v>9.284030065265475E-2</v>
      </c>
      <c r="D165" s="48">
        <v>8.6153196821195793E-2</v>
      </c>
      <c r="E165" s="48">
        <v>9.7988194373572049E-2</v>
      </c>
      <c r="F165" s="44">
        <v>12153634</v>
      </c>
      <c r="G165" s="44">
        <v>3</v>
      </c>
      <c r="H165" s="48" t="s">
        <v>159</v>
      </c>
      <c r="I165" s="48">
        <v>6.8680666941539403E-2</v>
      </c>
      <c r="J165" s="48">
        <v>0.13941001168376699</v>
      </c>
      <c r="K165" s="48">
        <v>0.16545464246051519</v>
      </c>
      <c r="L165" s="44">
        <v>1692097</v>
      </c>
      <c r="N165" s="43" t="s">
        <v>279</v>
      </c>
      <c r="R165" s="21"/>
      <c r="S165" s="21"/>
    </row>
    <row r="166" spans="1:19" s="43" customFormat="1">
      <c r="A166" s="44">
        <v>4</v>
      </c>
      <c r="B166" s="48" t="s">
        <v>397</v>
      </c>
      <c r="C166" s="48">
        <v>4.5695179213219909E-2</v>
      </c>
      <c r="D166" s="48">
        <v>6.5612880520892203E-2</v>
      </c>
      <c r="E166" s="48">
        <v>0.19438012724181356</v>
      </c>
      <c r="F166" s="44">
        <v>3689192</v>
      </c>
      <c r="G166" s="44">
        <v>4</v>
      </c>
      <c r="H166" s="48" t="s">
        <v>308</v>
      </c>
      <c r="I166" s="48">
        <v>0.14885645982031503</v>
      </c>
      <c r="J166" s="48">
        <v>0.12407462880123164</v>
      </c>
      <c r="K166" s="48">
        <v>4.867780856853169E-2</v>
      </c>
      <c r="L166" s="44">
        <v>3050596</v>
      </c>
      <c r="R166" s="21"/>
      <c r="S166" s="21"/>
    </row>
    <row r="167" spans="1:19" s="43" customFormat="1">
      <c r="A167" s="44">
        <v>5</v>
      </c>
      <c r="B167" s="48" t="s">
        <v>159</v>
      </c>
      <c r="C167" s="48">
        <v>2.5659023044042242E-2</v>
      </c>
      <c r="D167" s="48">
        <v>4.4737416823279814E-2</v>
      </c>
      <c r="E167" s="48">
        <v>0</v>
      </c>
      <c r="F167" s="44">
        <v>1692097</v>
      </c>
      <c r="G167" s="44">
        <v>5</v>
      </c>
      <c r="H167" s="48" t="s">
        <v>397</v>
      </c>
      <c r="I167" s="48">
        <v>0</v>
      </c>
      <c r="J167" s="48">
        <v>5.7068498842437185E-2</v>
      </c>
      <c r="K167" s="48">
        <v>0.14081722564275115</v>
      </c>
      <c r="L167" s="44">
        <v>3689192</v>
      </c>
      <c r="R167" s="21"/>
      <c r="S167" s="21"/>
    </row>
    <row r="168" spans="1:19" s="43" customFormat="1">
      <c r="A168" s="44">
        <v>6</v>
      </c>
      <c r="B168" s="48" t="s">
        <v>123</v>
      </c>
      <c r="C168" s="48">
        <v>0</v>
      </c>
      <c r="D168" s="48">
        <v>0</v>
      </c>
      <c r="E168" s="48">
        <v>6.26326450921523E-2</v>
      </c>
      <c r="F168" s="44">
        <v>11115023</v>
      </c>
      <c r="G168" s="44">
        <v>6</v>
      </c>
      <c r="H168" s="48" t="s">
        <v>251</v>
      </c>
      <c r="I168" s="48">
        <v>0.10911543465837148</v>
      </c>
      <c r="J168" s="48">
        <v>4.6026372998028808E-2</v>
      </c>
      <c r="K168" s="48">
        <v>6.923483005167097E-2</v>
      </c>
      <c r="L168" s="44">
        <v>5920853</v>
      </c>
      <c r="R168" s="21"/>
      <c r="S168" s="21"/>
    </row>
    <row r="169" spans="1:19" s="43" customFormat="1">
      <c r="A169" s="44">
        <v>7</v>
      </c>
      <c r="B169" s="48" t="s">
        <v>251</v>
      </c>
      <c r="C169" s="48">
        <v>5.2053358971083985E-2</v>
      </c>
      <c r="D169" s="48">
        <v>7.2102280957360154E-2</v>
      </c>
      <c r="E169" s="48">
        <v>0.15719967684139136</v>
      </c>
      <c r="F169" s="44">
        <v>5920853</v>
      </c>
      <c r="G169" s="44">
        <v>7</v>
      </c>
      <c r="H169" s="48"/>
      <c r="I169" s="48">
        <v>0.15460881242474034</v>
      </c>
      <c r="J169" s="48">
        <v>0</v>
      </c>
      <c r="K169" s="48">
        <v>0</v>
      </c>
      <c r="L169" s="44">
        <v>1692097</v>
      </c>
      <c r="R169" s="21"/>
      <c r="S169" s="21"/>
    </row>
    <row r="170" spans="1:19" s="43" customFormat="1">
      <c r="A170" s="44">
        <v>8</v>
      </c>
      <c r="B170" s="48"/>
      <c r="C170" s="48">
        <v>0</v>
      </c>
      <c r="D170" s="48">
        <v>0</v>
      </c>
      <c r="E170" s="48">
        <v>0</v>
      </c>
      <c r="F170" s="44">
        <v>1692097</v>
      </c>
      <c r="G170" s="44">
        <v>8</v>
      </c>
      <c r="H170" s="48"/>
      <c r="I170" s="48">
        <v>0.15460881242474034</v>
      </c>
      <c r="J170" s="48">
        <v>0</v>
      </c>
      <c r="K170" s="48">
        <v>0</v>
      </c>
      <c r="L170" s="44">
        <v>1692097</v>
      </c>
      <c r="R170" s="21"/>
      <c r="S170" s="21"/>
    </row>
    <row r="171" spans="1:19" s="43" customFormat="1">
      <c r="A171" s="44">
        <v>9</v>
      </c>
      <c r="B171" s="48"/>
      <c r="C171" s="48">
        <v>0</v>
      </c>
      <c r="D171" s="48">
        <v>0</v>
      </c>
      <c r="E171" s="48">
        <v>0</v>
      </c>
      <c r="F171" s="44">
        <v>1692097</v>
      </c>
      <c r="G171" s="44">
        <v>9</v>
      </c>
      <c r="H171" s="48"/>
      <c r="I171" s="48">
        <v>0.15460881242474034</v>
      </c>
      <c r="J171" s="48">
        <v>0</v>
      </c>
      <c r="K171" s="48">
        <v>0</v>
      </c>
      <c r="L171" s="44">
        <v>1692097</v>
      </c>
      <c r="R171" s="21"/>
      <c r="S171" s="21"/>
    </row>
    <row r="172" spans="1:19" s="43" customFormat="1">
      <c r="A172" s="44">
        <v>10</v>
      </c>
      <c r="B172" s="48"/>
      <c r="C172" s="48">
        <v>0</v>
      </c>
      <c r="D172" s="48">
        <v>0</v>
      </c>
      <c r="E172" s="48">
        <v>0</v>
      </c>
      <c r="F172" s="44">
        <v>1692097</v>
      </c>
      <c r="G172" s="44">
        <v>10</v>
      </c>
      <c r="H172" s="48"/>
      <c r="I172" s="48">
        <v>0.15460881242474034</v>
      </c>
      <c r="J172" s="48">
        <v>0</v>
      </c>
      <c r="K172" s="48">
        <v>0</v>
      </c>
      <c r="L172" s="44">
        <v>1692097</v>
      </c>
      <c r="R172" s="21"/>
      <c r="S172" s="21"/>
    </row>
    <row r="173" spans="1:19" s="43" customFormat="1">
      <c r="A173" s="44">
        <v>11</v>
      </c>
      <c r="B173" s="48"/>
      <c r="C173" s="48">
        <v>0</v>
      </c>
      <c r="D173" s="48">
        <v>0</v>
      </c>
      <c r="E173" s="48">
        <v>0</v>
      </c>
      <c r="F173" s="44">
        <v>1692097</v>
      </c>
      <c r="G173" s="44">
        <v>11</v>
      </c>
      <c r="H173" s="48"/>
      <c r="I173" s="48">
        <v>0.15460881242474034</v>
      </c>
      <c r="J173" s="48">
        <v>0</v>
      </c>
      <c r="K173" s="48">
        <v>0</v>
      </c>
      <c r="L173" s="44">
        <v>1692097</v>
      </c>
      <c r="R173" s="21"/>
      <c r="S173" s="21"/>
    </row>
    <row r="174" spans="1:19" s="43" customFormat="1">
      <c r="A174" s="44">
        <v>12</v>
      </c>
      <c r="B174" s="48"/>
      <c r="C174" s="48">
        <v>0</v>
      </c>
      <c r="D174" s="48">
        <v>0</v>
      </c>
      <c r="E174" s="48">
        <v>0</v>
      </c>
      <c r="F174" s="44">
        <v>1692097</v>
      </c>
      <c r="G174" s="44">
        <v>12</v>
      </c>
      <c r="H174" s="48"/>
      <c r="I174" s="48">
        <v>0.15460881242474034</v>
      </c>
      <c r="J174" s="48">
        <v>0</v>
      </c>
      <c r="K174" s="48">
        <v>0</v>
      </c>
      <c r="L174" s="44">
        <v>1692097</v>
      </c>
      <c r="R174" s="21"/>
      <c r="S174" s="21"/>
    </row>
    <row r="175" spans="1:19" s="43" customFormat="1">
      <c r="A175" s="44">
        <v>13</v>
      </c>
      <c r="B175" s="48"/>
      <c r="C175" s="48">
        <v>0</v>
      </c>
      <c r="D175" s="48">
        <v>0</v>
      </c>
      <c r="E175" s="48">
        <v>0</v>
      </c>
      <c r="F175" s="44">
        <v>1692097</v>
      </c>
      <c r="G175" s="44">
        <v>13</v>
      </c>
      <c r="H175" s="48"/>
      <c r="I175" s="48">
        <v>0.15460881242474034</v>
      </c>
      <c r="J175" s="48">
        <v>0</v>
      </c>
      <c r="K175" s="48">
        <v>0</v>
      </c>
      <c r="L175" s="44">
        <v>1692097</v>
      </c>
      <c r="R175" s="21"/>
      <c r="S175" s="21"/>
    </row>
    <row r="176" spans="1:19" s="43" customFormat="1">
      <c r="A176" s="44">
        <v>14</v>
      </c>
      <c r="B176" s="48"/>
      <c r="C176" s="48">
        <v>0</v>
      </c>
      <c r="D176" s="48">
        <v>0</v>
      </c>
      <c r="E176" s="48">
        <v>0</v>
      </c>
      <c r="F176" s="44">
        <v>1692097</v>
      </c>
      <c r="G176" s="44">
        <v>14</v>
      </c>
      <c r="H176" s="48"/>
      <c r="I176" s="48">
        <v>0.15460881242474034</v>
      </c>
      <c r="J176" s="48">
        <v>0</v>
      </c>
      <c r="K176" s="48">
        <v>0</v>
      </c>
      <c r="L176" s="44">
        <v>1692097</v>
      </c>
      <c r="R176" s="21"/>
      <c r="S176" s="21"/>
    </row>
    <row r="177" spans="1:19" s="43" customFormat="1">
      <c r="A177" s="44">
        <v>15</v>
      </c>
      <c r="B177" s="48"/>
      <c r="C177" s="48">
        <v>0</v>
      </c>
      <c r="D177" s="48">
        <v>0</v>
      </c>
      <c r="E177" s="48">
        <v>0</v>
      </c>
      <c r="F177" s="44">
        <v>1692097</v>
      </c>
      <c r="G177" s="44">
        <v>15</v>
      </c>
      <c r="H177" s="48"/>
      <c r="I177" s="48">
        <v>0.15460881242474034</v>
      </c>
      <c r="J177" s="48">
        <v>0</v>
      </c>
      <c r="K177" s="48">
        <v>0</v>
      </c>
      <c r="L177" s="44">
        <v>1692097</v>
      </c>
      <c r="R177" s="21"/>
      <c r="S177" s="21"/>
    </row>
    <row r="178" spans="1:19" s="43" customFormat="1">
      <c r="A178" s="44">
        <v>16</v>
      </c>
      <c r="B178" s="48"/>
      <c r="C178" s="48">
        <v>0</v>
      </c>
      <c r="D178" s="48">
        <v>0</v>
      </c>
      <c r="E178" s="48">
        <v>0</v>
      </c>
      <c r="F178" s="44">
        <v>1692097</v>
      </c>
      <c r="G178" s="44">
        <v>16</v>
      </c>
      <c r="H178" s="48"/>
      <c r="I178" s="48">
        <v>0.15460881242474034</v>
      </c>
      <c r="J178" s="48">
        <v>0</v>
      </c>
      <c r="K178" s="48">
        <v>0</v>
      </c>
      <c r="L178" s="44">
        <v>1692097</v>
      </c>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B6F8A838-F61B-4730-93C7-CAD0CE3E8EA5}">
      <formula1>$C$113:$C$114</formula1>
    </dataValidation>
  </dataValidations>
  <hyperlinks>
    <hyperlink ref="O1:P1" location="Home_page" display="Back to home page" xr:uid="{30A47B92-A1C7-446C-A865-CCE962CABCC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B6A86825-DB63-4DFD-BE39-D41B199C9625}">
          <x14:colorSeries rgb="FF323232"/>
          <x14:colorNegative rgb="FFD00000"/>
          <x14:colorAxis rgb="FF000000"/>
          <x14:colorMarkers rgb="FFD00000"/>
          <x14:colorFirst rgb="FFD00000"/>
          <x14:colorLast rgb="FFD00000"/>
          <x14:colorHigh rgb="FFD00000"/>
          <x14:colorLow rgb="FFD00000"/>
          <x14:sparklines>
            <x14:sparkline>
              <xm:f>'U10m pots and traps'!D3:N3</xm:f>
              <xm:sqref>C3</xm:sqref>
            </x14:sparkline>
            <x14:sparkline>
              <xm:f>'U10m pots and traps'!D4:N4</xm:f>
              <xm:sqref>C4</xm:sqref>
            </x14:sparkline>
            <x14:sparkline>
              <xm:f>'U10m pots and traps'!D5:N5</xm:f>
              <xm:sqref>C5</xm:sqref>
            </x14:sparkline>
            <x14:sparkline>
              <xm:f>'U10m pots and traps'!D6:N6</xm:f>
              <xm:sqref>C6</xm:sqref>
            </x14:sparkline>
            <x14:sparkline>
              <xm:f>'U10m pots and traps'!D7:N7</xm:f>
              <xm:sqref>C7</xm:sqref>
            </x14:sparkline>
            <x14:sparkline>
              <xm:f>'U10m pots and traps'!D8:N8</xm:f>
              <xm:sqref>C8</xm:sqref>
            </x14:sparkline>
            <x14:sparkline>
              <xm:f>'U10m pots and traps'!D9:N9</xm:f>
              <xm:sqref>C9</xm:sqref>
            </x14:sparkline>
            <x14:sparkline>
              <xm:f>'U10m pots and traps'!D10:N10</xm:f>
              <xm:sqref>C10</xm:sqref>
            </x14:sparkline>
            <x14:sparkline>
              <xm:f>'U10m pots and traps'!D11:N11</xm:f>
              <xm:sqref>C11</xm:sqref>
            </x14:sparkline>
            <x14:sparkline>
              <xm:f>'U10m pots and traps'!D12:N12</xm:f>
              <xm:sqref>C12</xm:sqref>
            </x14:sparkline>
            <x14:sparkline>
              <xm:f>'U10m pots and traps'!D13:N13</xm:f>
              <xm:sqref>C13</xm:sqref>
            </x14:sparkline>
            <x14:sparkline>
              <xm:f>'U10m pots and traps'!D14:N14</xm:f>
              <xm:sqref>C14</xm:sqref>
            </x14:sparkline>
            <x14:sparkline>
              <xm:f>'U10m pots and traps'!D15:N15</xm:f>
              <xm:sqref>C15</xm:sqref>
            </x14:sparkline>
            <x14:sparkline>
              <xm:f>'U10m pots and traps'!D16:N16</xm:f>
              <xm:sqref>C16</xm:sqref>
            </x14:sparkline>
            <x14:sparkline>
              <xm:f>'U10m pots and traps'!D17:N17</xm:f>
              <xm:sqref>C17</xm:sqref>
            </x14:sparkline>
            <x14:sparkline>
              <xm:f>'U10m pots and traps'!D18:N18</xm:f>
              <xm:sqref>C18</xm:sqref>
            </x14:sparkline>
            <x14:sparkline>
              <xm:f>'U10m pots and traps'!D19:N19</xm:f>
              <xm:sqref>C19</xm:sqref>
            </x14:sparkline>
            <x14:sparkline>
              <xm:f>'U10m pots and traps'!D20:N20</xm:f>
              <xm:sqref>C20</xm:sqref>
            </x14:sparkline>
            <x14:sparkline>
              <xm:f>'U10m pots and traps'!D21:N21</xm:f>
              <xm:sqref>C21</xm:sqref>
            </x14:sparkline>
            <x14:sparkline>
              <xm:f>'U10m pots and traps'!D22:N22</xm:f>
              <xm:sqref>C22</xm:sqref>
            </x14:sparkline>
            <x14:sparkline>
              <xm:f>'U10m pots and traps'!D23:N23</xm:f>
              <xm:sqref>C23</xm:sqref>
            </x14:sparkline>
            <x14:sparkline>
              <xm:f>'U10m pots and traps'!D24:N24</xm:f>
              <xm:sqref>C24</xm:sqref>
            </x14:sparkline>
            <x14:sparkline>
              <xm:f>'U10m pots and traps'!D25:N25</xm:f>
              <xm:sqref>C25</xm:sqref>
            </x14:sparkline>
            <x14:sparkline>
              <xm:f>'U10m pots and traps'!D26:N26</xm:f>
              <xm:sqref>C26</xm:sqref>
            </x14:sparkline>
            <x14:sparkline>
              <xm:f>'U10m pots and traps'!D27:N27</xm:f>
              <xm:sqref>C27</xm:sqref>
            </x14:sparkline>
            <x14:sparkline>
              <xm:f>'U10m pots and traps'!D28:N28</xm:f>
              <xm:sqref>C28</xm:sqref>
            </x14:sparkline>
            <x14:sparkline>
              <xm:f>'U10m pots and traps'!D29:N29</xm:f>
              <xm:sqref>C29</xm:sqref>
            </x14:sparkline>
            <x14:sparkline>
              <xm:f>'U10m pots and traps'!D30:N30</xm:f>
              <xm:sqref>C30</xm:sqref>
            </x14:sparkline>
            <x14:sparkline>
              <xm:f>'U10m pots and traps'!D31:N31</xm:f>
              <xm:sqref>C31</xm:sqref>
            </x14:sparkline>
            <x14:sparkline>
              <xm:f>'U10m pots and traps'!D32:N32</xm:f>
              <xm:sqref>C32</xm:sqref>
            </x14:sparkline>
            <x14:sparkline>
              <xm:f>'U10m pots and traps'!D33:N33</xm:f>
              <xm:sqref>C33</xm:sqref>
            </x14:sparkline>
            <x14:sparkline>
              <xm:f>'U10m pots and traps'!D34:N34</xm:f>
              <xm:sqref>C34</xm:sqref>
            </x14:sparkline>
            <x14:sparkline>
              <xm:f>'U10m pots and traps'!D35:N35</xm:f>
              <xm:sqref>C35</xm:sqref>
            </x14:sparkline>
            <x14:sparkline>
              <xm:f>'U10m pots and traps'!D36:N36</xm:f>
              <xm:sqref>C36</xm:sqref>
            </x14:sparkline>
            <x14:sparkline>
              <xm:f>'U10m pots and traps'!D37:N37</xm:f>
              <xm:sqref>C37</xm:sqref>
            </x14:sparkline>
            <x14:sparkline>
              <xm:f>'U10m pots and traps'!D38:N38</xm:f>
              <xm:sqref>C38</xm:sqref>
            </x14:sparkline>
            <x14:sparkline>
              <xm:f>'U10m pots and traps'!D39:N39</xm:f>
              <xm:sqref>C39</xm:sqref>
            </x14:sparkline>
            <x14:sparkline>
              <xm:f>'U10m pots and traps'!D40:N40</xm:f>
              <xm:sqref>C40</xm:sqref>
            </x14:sparkline>
            <x14:sparkline>
              <xm:f>'U10m pots and traps'!D41:N41</xm:f>
              <xm:sqref>C41</xm:sqref>
            </x14:sparkline>
            <x14:sparkline>
              <xm:f>'U10m pots and traps'!D42:N42</xm:f>
              <xm:sqref>C42</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6DF2-C8D7-493C-BD36-26BD9FA25A60}">
  <sheetPr codeName="Feuil36">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37</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142</v>
      </c>
      <c r="E3" s="28">
        <v>149</v>
      </c>
      <c r="F3" s="28">
        <v>149</v>
      </c>
      <c r="G3" s="28">
        <v>137</v>
      </c>
      <c r="H3" s="28">
        <v>167</v>
      </c>
      <c r="I3" s="28">
        <v>230</v>
      </c>
      <c r="J3" s="28">
        <v>208</v>
      </c>
      <c r="K3" s="28">
        <v>198</v>
      </c>
      <c r="L3" s="28">
        <v>201</v>
      </c>
      <c r="M3" s="28">
        <v>228</v>
      </c>
      <c r="N3" s="28">
        <v>228</v>
      </c>
      <c r="O3" s="29">
        <f t="shared" ref="O3:O42" si="0">IF(N3=0,"",IFERROR(IF(AND(N3&gt;0,D3&lt;0),"na",IF(AND(N3&lt;0,D3&lt;0),-1,1)*(N3-D3)/D3),""))</f>
        <v>0.60563380281690138</v>
      </c>
      <c r="P3" s="29">
        <f t="shared" ref="P3:P42" si="1">IF(N3=0,"",IFERROR(IF(AND(N3&gt;0,J3&lt;0),"na",IF(AND(N3&lt;0,J3&lt;0),-1,1)*(N3-J3)/J3),""))</f>
        <v>9.6153846153846159E-2</v>
      </c>
    </row>
    <row r="4" spans="1:17" ht="18" customHeight="1">
      <c r="A4" s="185"/>
      <c r="B4" s="30" t="s">
        <v>190</v>
      </c>
      <c r="C4" s="31"/>
      <c r="D4" s="31">
        <v>9212</v>
      </c>
      <c r="E4" s="31">
        <v>10135</v>
      </c>
      <c r="F4" s="31">
        <v>10053</v>
      </c>
      <c r="G4" s="31">
        <v>10086</v>
      </c>
      <c r="H4" s="31">
        <v>10911</v>
      </c>
      <c r="I4" s="31">
        <v>14563</v>
      </c>
      <c r="J4" s="31">
        <v>13924</v>
      </c>
      <c r="K4" s="31">
        <v>13614</v>
      </c>
      <c r="L4" s="31">
        <v>13709</v>
      </c>
      <c r="M4" s="31">
        <v>15066</v>
      </c>
      <c r="N4" s="31">
        <v>14496</v>
      </c>
      <c r="O4" s="29">
        <f t="shared" si="0"/>
        <v>0.57359965262700829</v>
      </c>
      <c r="P4" s="29">
        <f t="shared" si="1"/>
        <v>4.1080149382361389E-2</v>
      </c>
    </row>
    <row r="5" spans="1:17" ht="18" customHeight="1">
      <c r="A5" s="185"/>
      <c r="B5" s="30" t="s">
        <v>191</v>
      </c>
      <c r="C5" s="31"/>
      <c r="D5" s="31">
        <v>418</v>
      </c>
      <c r="E5" s="31">
        <v>418</v>
      </c>
      <c r="F5" s="31">
        <v>449.35000610351563</v>
      </c>
      <c r="G5" s="31">
        <v>425</v>
      </c>
      <c r="H5" s="31">
        <v>514</v>
      </c>
      <c r="I5" s="31">
        <v>659.489990234375</v>
      </c>
      <c r="J5" s="31">
        <v>562.489990234375</v>
      </c>
      <c r="K5" s="31">
        <v>575.489990234375</v>
      </c>
      <c r="L5" s="31">
        <v>576.489990234375</v>
      </c>
      <c r="M5" s="31">
        <v>605.84002685546875</v>
      </c>
      <c r="N5" s="31">
        <v>587.30999755859375</v>
      </c>
      <c r="O5" s="29">
        <f t="shared" si="0"/>
        <v>0.40504784104926733</v>
      </c>
      <c r="P5" s="29">
        <f t="shared" si="1"/>
        <v>4.4125242680099777E-2</v>
      </c>
      <c r="Q5" s="32"/>
    </row>
    <row r="6" spans="1:17" ht="18" customHeight="1">
      <c r="A6" s="185"/>
      <c r="B6" s="30" t="s">
        <v>192</v>
      </c>
      <c r="C6" s="31"/>
      <c r="D6" s="31">
        <v>6816.39599609375</v>
      </c>
      <c r="E6" s="31">
        <v>7312.14453125</v>
      </c>
      <c r="F6" s="31">
        <v>7407.4072265625</v>
      </c>
      <c r="G6" s="31">
        <v>7331.07666015625</v>
      </c>
      <c r="H6" s="31">
        <v>8207.0869140625</v>
      </c>
      <c r="I6" s="31">
        <v>11039.76171875</v>
      </c>
      <c r="J6" s="31">
        <v>10247.287109375</v>
      </c>
      <c r="K6" s="31">
        <v>10014.5869140625</v>
      </c>
      <c r="L6" s="31">
        <v>10168.67578125</v>
      </c>
      <c r="M6" s="31">
        <v>11186.4716796875</v>
      </c>
      <c r="N6" s="31">
        <v>10884.064453125</v>
      </c>
      <c r="O6" s="29">
        <f t="shared" si="0"/>
        <v>0.59674767419062735</v>
      </c>
      <c r="P6" s="29">
        <f t="shared" si="1"/>
        <v>6.2141065918551994E-2</v>
      </c>
    </row>
    <row r="7" spans="1:17" ht="18" customHeight="1">
      <c r="A7" s="185"/>
      <c r="B7" s="30" t="s">
        <v>193</v>
      </c>
      <c r="C7" s="31"/>
      <c r="D7" s="31">
        <v>1978.85009765625</v>
      </c>
      <c r="E7" s="31">
        <v>1749.77783203125</v>
      </c>
      <c r="F7" s="31">
        <v>1492.0423583984375</v>
      </c>
      <c r="G7" s="31">
        <v>1708.530029296875</v>
      </c>
      <c r="H7" s="31">
        <v>2196.671630859375</v>
      </c>
      <c r="I7" s="31">
        <v>2636.471923828125</v>
      </c>
      <c r="J7" s="31">
        <v>2219.70263671875</v>
      </c>
      <c r="K7" s="31">
        <v>2337.367919921875</v>
      </c>
      <c r="L7" s="31">
        <v>2091.9169921875</v>
      </c>
      <c r="M7" s="31">
        <v>2222.9462890625</v>
      </c>
      <c r="N7" s="31">
        <v>2149.0087890625</v>
      </c>
      <c r="O7" s="29">
        <f t="shared" si="0"/>
        <v>8.598867170776904E-2</v>
      </c>
      <c r="P7" s="29">
        <f t="shared" si="1"/>
        <v>-3.1848341524138735E-2</v>
      </c>
    </row>
    <row r="8" spans="1:17" ht="18" customHeight="1">
      <c r="A8" s="185"/>
      <c r="B8" s="30" t="s">
        <v>194</v>
      </c>
      <c r="C8" s="33"/>
      <c r="D8" s="33">
        <f ca="1">6.724422*OFFSET(D$113,MATCH($N$1,$C$113:$C$114,0)-1,0)</f>
        <v>6.7244219999999997</v>
      </c>
      <c r="E8" s="33">
        <f ca="1">6.1349475*OFFSET(E$113,MATCH($N$1,$C$113:$C$114,0)-1,0)</f>
        <v>6.1349475</v>
      </c>
      <c r="F8" s="33">
        <f ca="1">5.561792*OFFSET(F$113,MATCH($N$1,$C$113:$C$114,0)-1,0)</f>
        <v>5.5617919999999996</v>
      </c>
      <c r="G8" s="33">
        <f ca="1">6.201117*OFFSET(G$113,MATCH($N$1,$C$113:$C$114,0)-1,0)</f>
        <v>6.201117</v>
      </c>
      <c r="H8" s="33">
        <f ca="1">7.780835*OFFSET(H$113,MATCH($N$1,$C$113:$C$114,0)-1,0)</f>
        <v>7.7808349999999997</v>
      </c>
      <c r="I8" s="33">
        <f ca="1">9.320838*OFFSET(I$113,MATCH($N$1,$C$113:$C$114,0)-1,0)</f>
        <v>9.3208380000000002</v>
      </c>
      <c r="J8" s="33">
        <f ca="1">9.663188*OFFSET(J$113,MATCH($N$1,$C$113:$C$114,0)-1,0)</f>
        <v>9.6631879999999999</v>
      </c>
      <c r="K8" s="33">
        <f ca="1">10.503431*OFFSET(K$113,MATCH($N$1,$C$113:$C$114,0)-1,0)</f>
        <v>10.503431000000001</v>
      </c>
      <c r="L8" s="33">
        <f ca="1">7.676618*OFFSET(L$113,MATCH($N$1,$C$113:$C$114,0)-1,0)</f>
        <v>7.6766180000000004</v>
      </c>
      <c r="M8" s="33">
        <f ca="1">9.43462*OFFSET(M$113,MATCH($N$1,$C$113:$C$114,0)-1,0)</f>
        <v>9.4346200000000007</v>
      </c>
      <c r="N8" s="33">
        <v>9.798646999999999</v>
      </c>
      <c r="O8" s="29">
        <f t="shared" ca="1" si="0"/>
        <v>0.45717312209138561</v>
      </c>
      <c r="P8" s="29">
        <f t="shared" ca="1" si="1"/>
        <v>1.4018044562519026E-2</v>
      </c>
    </row>
    <row r="9" spans="1:17" ht="18" customHeight="1">
      <c r="A9" s="185"/>
      <c r="B9" s="30" t="s">
        <v>195</v>
      </c>
      <c r="C9" s="31"/>
      <c r="D9" s="31">
        <v>11905</v>
      </c>
      <c r="E9" s="31">
        <v>10860</v>
      </c>
      <c r="F9" s="31">
        <v>11465</v>
      </c>
      <c r="G9" s="31">
        <v>11302</v>
      </c>
      <c r="H9" s="31">
        <v>11975</v>
      </c>
      <c r="I9" s="31">
        <v>13838</v>
      </c>
      <c r="J9" s="31">
        <v>12258</v>
      </c>
      <c r="K9" s="31">
        <v>12191</v>
      </c>
      <c r="L9" s="31">
        <v>10378</v>
      </c>
      <c r="M9" s="31">
        <v>12601</v>
      </c>
      <c r="N9" s="31">
        <v>12407</v>
      </c>
      <c r="O9" s="29">
        <f t="shared" si="0"/>
        <v>4.2167156656866864E-2</v>
      </c>
      <c r="P9" s="29">
        <f t="shared" si="1"/>
        <v>1.2155327133300701E-2</v>
      </c>
    </row>
    <row r="10" spans="1:17" ht="18" customHeight="1">
      <c r="A10" s="185"/>
      <c r="B10" s="30" t="s">
        <v>196</v>
      </c>
      <c r="C10" s="31"/>
      <c r="D10" s="31">
        <v>878.74</v>
      </c>
      <c r="E10" s="31">
        <v>807.12</v>
      </c>
      <c r="F10" s="31">
        <v>921.30000000000007</v>
      </c>
      <c r="G10" s="31">
        <v>1055.6400000000001</v>
      </c>
      <c r="H10" s="31">
        <v>1044.3800000000001</v>
      </c>
      <c r="I10" s="31">
        <v>1037.48</v>
      </c>
      <c r="J10" s="31">
        <v>976.04</v>
      </c>
      <c r="K10" s="31">
        <v>956.86</v>
      </c>
      <c r="L10" s="31">
        <v>802.12</v>
      </c>
      <c r="M10" s="31">
        <v>963.62</v>
      </c>
      <c r="N10" s="31">
        <v>880.14</v>
      </c>
      <c r="O10" s="29">
        <f t="shared" si="0"/>
        <v>1.593190249675646E-3</v>
      </c>
      <c r="P10" s="29">
        <f t="shared" si="1"/>
        <v>-9.8254169911069195E-2</v>
      </c>
    </row>
    <row r="11" spans="1:17" ht="18" customHeight="1">
      <c r="A11" s="185"/>
      <c r="B11" s="30" t="s">
        <v>197</v>
      </c>
      <c r="C11" s="31"/>
      <c r="D11" s="31">
        <v>117.64573669433594</v>
      </c>
      <c r="E11" s="31">
        <v>95.196907043457031</v>
      </c>
      <c r="F11" s="31">
        <v>135.52931213378906</v>
      </c>
      <c r="G11" s="31">
        <v>179.3306884765625</v>
      </c>
      <c r="H11" s="31">
        <v>85.032325744628906</v>
      </c>
      <c r="I11" s="31">
        <v>129.17349243164063</v>
      </c>
      <c r="J11" s="31">
        <v>110.06922912597656</v>
      </c>
      <c r="K11" s="31">
        <v>97.08837890625</v>
      </c>
      <c r="L11" s="31">
        <v>85.889610290527344</v>
      </c>
      <c r="M11" s="31">
        <v>86.737655639648438</v>
      </c>
      <c r="N11" s="31">
        <v>83.771682739257813</v>
      </c>
      <c r="O11" s="34">
        <f t="shared" si="0"/>
        <v>-0.28793269443404312</v>
      </c>
      <c r="P11" s="34">
        <f t="shared" si="1"/>
        <v>-0.23891823896232298</v>
      </c>
    </row>
    <row r="12" spans="1:17" ht="18" customHeight="1">
      <c r="A12" s="186" t="s">
        <v>198</v>
      </c>
      <c r="B12" s="35" t="s">
        <v>199</v>
      </c>
      <c r="C12" s="36"/>
      <c r="D12" s="36">
        <v>6.9870424270629883</v>
      </c>
      <c r="E12" s="36">
        <v>6.9713420867919922</v>
      </c>
      <c r="F12" s="36">
        <v>7.0336241722106934</v>
      </c>
      <c r="G12" s="36">
        <v>7.2269344329833984</v>
      </c>
      <c r="H12" s="36">
        <v>7.1674251556396484</v>
      </c>
      <c r="I12" s="36">
        <v>7.1211304664611816</v>
      </c>
      <c r="J12" s="36">
        <v>6.9937019348144531</v>
      </c>
      <c r="K12" s="36">
        <v>7.1015152931213379</v>
      </c>
      <c r="L12" s="36">
        <v>7.1032834053039551</v>
      </c>
      <c r="M12" s="36">
        <v>7.0452194213867188</v>
      </c>
      <c r="N12" s="36">
        <v>6.9849562644958496</v>
      </c>
      <c r="O12" s="29">
        <f t="shared" si="0"/>
        <v>-2.9857591232855773E-4</v>
      </c>
      <c r="P12" s="29">
        <f t="shared" si="1"/>
        <v>-1.2505065843695473E-3</v>
      </c>
    </row>
    <row r="13" spans="1:17" ht="18" customHeight="1">
      <c r="A13" s="187"/>
      <c r="B13" s="37" t="s">
        <v>190</v>
      </c>
      <c r="C13" s="31"/>
      <c r="D13" s="31">
        <v>64.873237609863281</v>
      </c>
      <c r="E13" s="31">
        <v>68.020133972167969</v>
      </c>
      <c r="F13" s="31">
        <v>67.925674438476563</v>
      </c>
      <c r="G13" s="31">
        <v>74.161766052246094</v>
      </c>
      <c r="H13" s="31">
        <v>65.728912353515625</v>
      </c>
      <c r="I13" s="31">
        <v>63.317390441894531</v>
      </c>
      <c r="J13" s="31">
        <v>66.942306518554688</v>
      </c>
      <c r="K13" s="31">
        <v>68.757575988769531</v>
      </c>
      <c r="L13" s="31">
        <v>68.2039794921875</v>
      </c>
      <c r="M13" s="31">
        <v>66.078948974609375</v>
      </c>
      <c r="N13" s="31">
        <v>63.578948974609375</v>
      </c>
      <c r="O13" s="29">
        <f t="shared" si="0"/>
        <v>-1.9951041183385049E-2</v>
      </c>
      <c r="P13" s="29">
        <f t="shared" si="1"/>
        <v>-5.0242630092422587E-2</v>
      </c>
    </row>
    <row r="14" spans="1:17" ht="18" customHeight="1">
      <c r="A14" s="187"/>
      <c r="B14" s="37" t="s">
        <v>191</v>
      </c>
      <c r="C14" s="31"/>
      <c r="D14" s="31">
        <v>2.9436619281768799</v>
      </c>
      <c r="E14" s="31">
        <v>2.824324369430542</v>
      </c>
      <c r="F14" s="31">
        <v>3.0361485481262207</v>
      </c>
      <c r="G14" s="31">
        <v>3.125</v>
      </c>
      <c r="H14" s="31">
        <v>3.0963854789733887</v>
      </c>
      <c r="I14" s="31">
        <v>2.8798689842224121</v>
      </c>
      <c r="J14" s="31">
        <v>2.7173430919647217</v>
      </c>
      <c r="K14" s="31">
        <v>2.9212689399719238</v>
      </c>
      <c r="L14" s="31">
        <v>2.8824501037597656</v>
      </c>
      <c r="M14" s="31">
        <v>2.6688985824584961</v>
      </c>
      <c r="N14" s="31">
        <v>2.5872688293457031</v>
      </c>
      <c r="O14" s="29">
        <f t="shared" si="0"/>
        <v>-0.12107134158979471</v>
      </c>
      <c r="P14" s="29">
        <f t="shared" si="1"/>
        <v>-4.7868177928526101E-2</v>
      </c>
    </row>
    <row r="15" spans="1:17" ht="18" customHeight="1">
      <c r="A15" s="187"/>
      <c r="B15" s="37" t="s">
        <v>192</v>
      </c>
      <c r="C15" s="31"/>
      <c r="D15" s="31">
        <v>48.002788543701172</v>
      </c>
      <c r="E15" s="31">
        <v>49.074798583984375</v>
      </c>
      <c r="F15" s="31">
        <v>50.050048828125</v>
      </c>
      <c r="G15" s="31">
        <v>53.904975891113281</v>
      </c>
      <c r="H15" s="31">
        <v>49.440284729003906</v>
      </c>
      <c r="I15" s="31">
        <v>47.99896240234375</v>
      </c>
      <c r="J15" s="31">
        <v>49.265804290771484</v>
      </c>
      <c r="K15" s="31">
        <v>50.578720092773438</v>
      </c>
      <c r="L15" s="31">
        <v>50.590427398681641</v>
      </c>
      <c r="M15" s="31">
        <v>49.063472747802734</v>
      </c>
      <c r="N15" s="31">
        <v>47.737125396728516</v>
      </c>
      <c r="O15" s="29">
        <f t="shared" si="0"/>
        <v>-5.5343273803937386E-3</v>
      </c>
      <c r="P15" s="29">
        <f t="shared" si="1"/>
        <v>-3.102920810996122E-2</v>
      </c>
    </row>
    <row r="16" spans="1:17" ht="18" customHeight="1">
      <c r="A16" s="187"/>
      <c r="B16" s="37" t="s">
        <v>193</v>
      </c>
      <c r="C16" s="33"/>
      <c r="D16" s="33">
        <v>13.935564041137695</v>
      </c>
      <c r="E16" s="33">
        <v>11.743474960327148</v>
      </c>
      <c r="F16" s="33">
        <v>10.013707160949707</v>
      </c>
      <c r="G16" s="33">
        <v>12.47102165222168</v>
      </c>
      <c r="H16" s="33">
        <v>13.153721809387207</v>
      </c>
      <c r="I16" s="33">
        <v>11.462921142578125</v>
      </c>
      <c r="J16" s="33">
        <v>10.671647071838379</v>
      </c>
      <c r="K16" s="33">
        <v>11.804888725280762</v>
      </c>
      <c r="L16" s="33">
        <v>10.407546997070313</v>
      </c>
      <c r="M16" s="33">
        <v>9.7497644424438477</v>
      </c>
      <c r="N16" s="33">
        <v>9.4254779815673828</v>
      </c>
      <c r="O16" s="29">
        <f t="shared" si="0"/>
        <v>-0.32363857295309811</v>
      </c>
      <c r="P16" s="29">
        <f t="shared" si="1"/>
        <v>-0.1167738289958573</v>
      </c>
    </row>
    <row r="17" spans="1:16" ht="18" customHeight="1">
      <c r="A17" s="187"/>
      <c r="B17" s="37" t="s">
        <v>200</v>
      </c>
      <c r="C17" s="33"/>
      <c r="D17" s="33">
        <f ca="1">47.35508203125*OFFSET(D$113,MATCH($N$1,$C$113:$C$114,0)-1,0)</f>
        <v>47.355082031249999</v>
      </c>
      <c r="E17" s="33">
        <f ca="1">41.17414453125*OFFSET(E$113,MATCH($N$1,$C$113:$C$114,0)-1,0)</f>
        <v>41.174144531250001</v>
      </c>
      <c r="F17" s="33">
        <f ca="1">37.3274609375*OFFSET(F$113,MATCH($N$1,$C$113:$C$114,0)-1,0)</f>
        <v>37.3274609375</v>
      </c>
      <c r="G17" s="33">
        <f ca="1">45.263625*OFFSET(G$113,MATCH($N$1,$C$113:$C$114,0)-1,0)</f>
        <v>45.263624999999998</v>
      </c>
      <c r="H17" s="33">
        <f ca="1">46.591828125*OFFSET(H$113,MATCH($N$1,$C$113:$C$114,0)-1,0)</f>
        <v>46.591828124999999</v>
      </c>
      <c r="I17" s="33">
        <f ca="1">40.5253828125*OFFSET(I$113,MATCH($N$1,$C$113:$C$114,0)-1,0)</f>
        <v>40.525382812499998</v>
      </c>
      <c r="J17" s="33">
        <f ca="1">46.4576328125*OFFSET(J$113,MATCH($N$1,$C$113:$C$114,0)-1,0)</f>
        <v>46.457632812500002</v>
      </c>
      <c r="K17" s="33">
        <f ca="1">53.0476328125*OFFSET(K$113,MATCH($N$1,$C$113:$C$114,0)-1,0)</f>
        <v>53.047632812499998</v>
      </c>
      <c r="L17" s="33">
        <f ca="1">38.19212890625*OFFSET(L$113,MATCH($N$1,$C$113:$C$114,0)-1,0)</f>
        <v>38.192128906249998</v>
      </c>
      <c r="M17" s="33">
        <f ca="1">41.37991015625*OFFSET(M$113,MATCH($N$1,$C$113:$C$114,0)-1,0)</f>
        <v>41.379910156249998</v>
      </c>
      <c r="N17" s="33">
        <v>42.976523437499999</v>
      </c>
      <c r="O17" s="29">
        <f t="shared" ca="1" si="0"/>
        <v>-9.246227450013822E-2</v>
      </c>
      <c r="P17" s="29">
        <f t="shared" ca="1" si="1"/>
        <v>-7.4930838362977606E-2</v>
      </c>
    </row>
    <row r="18" spans="1:16" ht="18" customHeight="1">
      <c r="A18" s="187"/>
      <c r="B18" s="37" t="s">
        <v>195</v>
      </c>
      <c r="C18" s="31"/>
      <c r="D18" s="31">
        <v>83.838027954101563</v>
      </c>
      <c r="E18" s="31">
        <v>72.885902404785156</v>
      </c>
      <c r="F18" s="31">
        <v>76.946311950683594</v>
      </c>
      <c r="G18" s="31">
        <v>82.496353149414063</v>
      </c>
      <c r="H18" s="31">
        <v>71.706588745117188</v>
      </c>
      <c r="I18" s="31">
        <v>60.165218353271484</v>
      </c>
      <c r="J18" s="31">
        <v>58.932693481445313</v>
      </c>
      <c r="K18" s="31">
        <v>61.570705413818359</v>
      </c>
      <c r="L18" s="31">
        <v>51.631839752197266</v>
      </c>
      <c r="M18" s="31">
        <v>55.267543792724609</v>
      </c>
      <c r="N18" s="31">
        <v>54.416667938232422</v>
      </c>
      <c r="O18" s="29">
        <f t="shared" si="0"/>
        <v>-0.35093096454959943</v>
      </c>
      <c r="P18" s="29">
        <f t="shared" si="1"/>
        <v>-7.6630224692423754E-2</v>
      </c>
    </row>
    <row r="19" spans="1:16" ht="18" customHeight="1">
      <c r="A19" s="187"/>
      <c r="B19" s="37" t="s">
        <v>201</v>
      </c>
      <c r="C19" s="31"/>
      <c r="D19" s="31">
        <v>21.457746505737305</v>
      </c>
      <c r="E19" s="31">
        <v>20.859060287475586</v>
      </c>
      <c r="F19" s="31">
        <v>22.63087272644043</v>
      </c>
      <c r="G19" s="31">
        <v>20.284671783447266</v>
      </c>
      <c r="H19" s="31">
        <v>22.646707534790039</v>
      </c>
      <c r="I19" s="31">
        <v>23.34782600402832</v>
      </c>
      <c r="J19" s="31">
        <v>22.25</v>
      </c>
      <c r="K19" s="31">
        <v>24.010101318359375</v>
      </c>
      <c r="L19" s="31">
        <v>23.427860260009766</v>
      </c>
      <c r="M19" s="31">
        <v>24.311403274536133</v>
      </c>
      <c r="N19" s="31">
        <v>24.122806549072266</v>
      </c>
      <c r="O19" s="29">
        <f t="shared" si="0"/>
        <v>0.12420036943871927</v>
      </c>
      <c r="P19" s="29">
        <f t="shared" si="1"/>
        <v>8.4171080857180475E-2</v>
      </c>
    </row>
    <row r="20" spans="1:16" ht="18" customHeight="1">
      <c r="A20" s="187"/>
      <c r="B20" s="37" t="s">
        <v>202</v>
      </c>
      <c r="C20" s="38"/>
      <c r="D20" s="38">
        <v>0.16622008383274078</v>
      </c>
      <c r="E20" s="38">
        <v>0.16112135350704193</v>
      </c>
      <c r="F20" s="38">
        <v>0.13013888895511627</v>
      </c>
      <c r="G20" s="38">
        <v>0.15117058157920837</v>
      </c>
      <c r="H20" s="38">
        <v>0.18343812227249146</v>
      </c>
      <c r="I20" s="38">
        <v>0.19052405655384064</v>
      </c>
      <c r="J20" s="38">
        <v>0.18108195066452026</v>
      </c>
      <c r="K20" s="38">
        <v>0.19172897934913635</v>
      </c>
      <c r="L20" s="38">
        <v>0.20157226920127869</v>
      </c>
      <c r="M20" s="38">
        <v>0.17641030251979828</v>
      </c>
      <c r="N20" s="38">
        <v>0.17320939898490906</v>
      </c>
      <c r="O20" s="29">
        <f t="shared" si="0"/>
        <v>4.2048559903274281E-2</v>
      </c>
      <c r="P20" s="29">
        <f t="shared" si="1"/>
        <v>-4.3475076619846079E-2</v>
      </c>
    </row>
    <row r="21" spans="1:16" ht="18" customHeight="1">
      <c r="A21" s="188"/>
      <c r="B21" s="39" t="s">
        <v>203</v>
      </c>
      <c r="C21" s="40"/>
      <c r="D21" s="40">
        <f ca="1">3398*OFFSET(D$113,MATCH($N$1,$C$113:$C$114,0)-1,0)</f>
        <v>3398</v>
      </c>
      <c r="E21" s="40">
        <f ca="1">3506*OFFSET(E$113,MATCH($N$1,$C$113:$C$114,0)-1,0)</f>
        <v>3506</v>
      </c>
      <c r="F21" s="40">
        <f ca="1">3728*OFFSET(F$113,MATCH($N$1,$C$113:$C$114,0)-1,0)</f>
        <v>3728</v>
      </c>
      <c r="G21" s="40">
        <f ca="1">3630*OFFSET(G$113,MATCH($N$1,$C$113:$C$114,0)-1,0)</f>
        <v>3630</v>
      </c>
      <c r="H21" s="40">
        <f ca="1">3542*OFFSET(H$113,MATCH($N$1,$C$113:$C$114,0)-1,0)</f>
        <v>3542</v>
      </c>
      <c r="I21" s="40">
        <f ca="1">3535*OFFSET(I$113,MATCH($N$1,$C$113:$C$114,0)-1,0)</f>
        <v>3535</v>
      </c>
      <c r="J21" s="40">
        <f ca="1">4353*OFFSET(J$113,MATCH($N$1,$C$113:$C$114,0)-1,0)</f>
        <v>4353</v>
      </c>
      <c r="K21" s="40">
        <f ca="1">4494*OFFSET(K$113,MATCH($N$1,$C$113:$C$114,0)-1,0)</f>
        <v>4494</v>
      </c>
      <c r="L21" s="40">
        <f ca="1">3670*OFFSET(L$113,MATCH($N$1,$C$113:$C$114,0)-1,0)</f>
        <v>3670</v>
      </c>
      <c r="M21" s="40">
        <f ca="1">4244*OFFSET(M$113,MATCH($N$1,$C$113:$C$114,0)-1,0)</f>
        <v>4244</v>
      </c>
      <c r="N21" s="40">
        <v>4560</v>
      </c>
      <c r="O21" s="34">
        <f t="shared" ca="1" si="0"/>
        <v>0.34196586227192466</v>
      </c>
      <c r="P21" s="34">
        <f t="shared" ca="1" si="1"/>
        <v>4.755341144038594E-2</v>
      </c>
    </row>
    <row r="22" spans="1:16" ht="18" customHeight="1">
      <c r="A22" s="189" t="s">
        <v>204</v>
      </c>
      <c r="B22" s="35" t="s">
        <v>205</v>
      </c>
      <c r="C22" s="41"/>
      <c r="D22" s="41">
        <v>2.7087423323182365</v>
      </c>
      <c r="E22" s="41">
        <v>2.5935504710701149</v>
      </c>
      <c r="F22" s="41">
        <v>2.0713362400375117</v>
      </c>
      <c r="G22" s="41">
        <v>2.0257278588801708</v>
      </c>
      <c r="H22" s="41">
        <v>2.6023814536979004</v>
      </c>
      <c r="I22" s="41">
        <v>3.0877170519167412</v>
      </c>
      <c r="J22" s="41">
        <v>2.742211919582441</v>
      </c>
      <c r="K22" s="41">
        <v>2.9807967280561907</v>
      </c>
      <c r="L22" s="41">
        <v>3.0960768522144533</v>
      </c>
      <c r="M22" s="41">
        <v>2.8205754107382073</v>
      </c>
      <c r="N22" s="41">
        <v>2.9460554767619422</v>
      </c>
      <c r="O22" s="29">
        <f t="shared" si="0"/>
        <v>8.7610084433761878E-2</v>
      </c>
      <c r="P22" s="29">
        <f t="shared" si="1"/>
        <v>7.4335450051774499E-2</v>
      </c>
    </row>
    <row r="23" spans="1:16" ht="18" customHeight="1">
      <c r="A23" s="189"/>
      <c r="B23" s="37" t="s">
        <v>206</v>
      </c>
      <c r="C23" s="38"/>
      <c r="D23" s="38">
        <f ca="1">9.2047020823692*OFFSET(D$113,MATCH($N$1,$C$113:$C$114,0)-1,0)</f>
        <v>9.2047020823692005</v>
      </c>
      <c r="E23" s="38">
        <f ca="1">9.09332393569114*OFFSET(E$113,MATCH($N$1,$C$113:$C$114,0)-1,0)</f>
        <v>9.0933239356911404</v>
      </c>
      <c r="F23" s="38">
        <f ca="1">7.72118870121777*OFFSET(F$113,MATCH($N$1,$C$113:$C$114,0)-1,0)</f>
        <v>7.7211887012177698</v>
      </c>
      <c r="G23" s="38">
        <f ca="1">7.35238769632561*OFFSET(G$113,MATCH($N$1,$C$113:$C$114,0)-1,0)</f>
        <v>7.3523876963256098</v>
      </c>
      <c r="H23" s="38">
        <f ca="1">9.21790130302512*OFFSET(H$113,MATCH($N$1,$C$113:$C$114,0)-1,0)</f>
        <v>9.2179013030251191</v>
      </c>
      <c r="I23" s="38">
        <f ca="1">10.9161455434619*OFFSET(I$113,MATCH($N$1,$C$113:$C$114,0)-1,0)</f>
        <v>10.9161455434619</v>
      </c>
      <c r="J23" s="38">
        <f ca="1">11.937864286218*OFFSET(J$113,MATCH($N$1,$C$113:$C$114,0)-1,0)</f>
        <v>11.937864286218</v>
      </c>
      <c r="K23" s="38">
        <f ca="1">13.3948073546848*OFFSET(K$113,MATCH($N$1,$C$113:$C$114,0)-1,0)</f>
        <v>13.394807354684801</v>
      </c>
      <c r="L23" s="38">
        <f ca="1">11.3615404548946*OFFSET(L$113,MATCH($N$1,$C$113:$C$114,0)-1,0)</f>
        <v>11.3615404548946</v>
      </c>
      <c r="M23" s="38">
        <f ca="1">11.9710745602403*OFFSET(M$113,MATCH($N$1,$C$113:$C$114,0)-1,0)</f>
        <v>11.9710745602403</v>
      </c>
      <c r="N23" s="38">
        <v>13.432870194258349</v>
      </c>
      <c r="O23" s="29">
        <f t="shared" ca="1" si="0"/>
        <v>0.4593487191712412</v>
      </c>
      <c r="P23" s="29">
        <f t="shared" ca="1" si="1"/>
        <v>0.12523227540509912</v>
      </c>
    </row>
    <row r="24" spans="1:16" ht="18" customHeight="1">
      <c r="A24" s="189"/>
      <c r="B24" s="37" t="s">
        <v>153</v>
      </c>
      <c r="C24" s="38"/>
      <c r="D24" s="38">
        <f ca="1">7.70104936586655*OFFSET(D$113,MATCH($N$1,$C$113:$C$114,0)-1,0)</f>
        <v>7.7010493658665498</v>
      </c>
      <c r="E24" s="38">
        <f ca="1">7.46260005124418*OFFSET(E$113,MATCH($N$1,$C$113:$C$114,0)-1,0)</f>
        <v>7.4626000512441797</v>
      </c>
      <c r="F24" s="38">
        <f ca="1">5.72178122370817*OFFSET(F$113,MATCH($N$1,$C$113:$C$114,0)-1,0)</f>
        <v>5.7217812237081702</v>
      </c>
      <c r="G24" s="38">
        <f ca="1">4.99054529650537*OFFSET(G$113,MATCH($N$1,$C$113:$C$114,0)-1,0)</f>
        <v>4.9905452965053696</v>
      </c>
      <c r="H24" s="38">
        <f ca="1">5.87128569640029*OFFSET(H$113,MATCH($N$1,$C$113:$C$114,0)-1,0)</f>
        <v>5.8712856964002897</v>
      </c>
      <c r="I24" s="38">
        <f ca="1">8.0652467230743*OFFSET(I$113,MATCH($N$1,$C$113:$C$114,0)-1,0)</f>
        <v>8.0652467230742992</v>
      </c>
      <c r="J24" s="38">
        <f ca="1">8.65364965951229*OFFSET(J$113,MATCH($N$1,$C$113:$C$114,0)-1,0)</f>
        <v>8.6536496595122898</v>
      </c>
      <c r="K24" s="38">
        <f ca="1">9.12005963341239*OFFSET(K$113,MATCH($N$1,$C$113:$C$114,0)-1,0)</f>
        <v>9.1200596334123905</v>
      </c>
      <c r="L24" s="38">
        <f ca="1">9.47251165241804*OFFSET(L$113,MATCH($N$1,$C$113:$C$114,0)-1,0)</f>
        <v>9.4725116524180404</v>
      </c>
      <c r="M24" s="38">
        <f ca="1">7.35628370464579*OFFSET(M$113,MATCH($N$1,$C$113:$C$114,0)-1,0)</f>
        <v>7.3562837046457901</v>
      </c>
      <c r="N24" s="38">
        <v>8.5078269516738416</v>
      </c>
      <c r="O24" s="29">
        <f t="shared" ca="1" si="0"/>
        <v>0.10476203274104195</v>
      </c>
      <c r="P24" s="29">
        <f t="shared" ca="1" si="1"/>
        <v>-1.6851006636044774E-2</v>
      </c>
    </row>
    <row r="25" spans="1:16" ht="18" customHeight="1">
      <c r="A25" s="189"/>
      <c r="B25" s="37" t="s">
        <v>154</v>
      </c>
      <c r="C25" s="38"/>
      <c r="D25" s="38">
        <f ca="1">1.70764695810699*OFFSET(D$113,MATCH($N$1,$C$113:$C$114,0)-1,0)</f>
        <v>1.70764695810699</v>
      </c>
      <c r="E25" s="38">
        <f ca="1">2.98430970464717*OFFSET(E$113,MATCH($N$1,$C$113:$C$114,0)-1,0)</f>
        <v>2.98430970464717</v>
      </c>
      <c r="F25" s="38">
        <f ca="1">2.26562076742596*OFFSET(F$113,MATCH($N$1,$C$113:$C$114,0)-1,0)</f>
        <v>2.2656207674259599</v>
      </c>
      <c r="G25" s="38">
        <f ca="1">2.43915992022929*OFFSET(G$113,MATCH($N$1,$C$113:$C$114,0)-1,0)</f>
        <v>2.4391599202292902</v>
      </c>
      <c r="H25" s="38">
        <f ca="1">3.41050449766046*OFFSET(H$113,MATCH($N$1,$C$113:$C$114,0)-1,0)</f>
        <v>3.4105044976604599</v>
      </c>
      <c r="I25" s="38">
        <f ca="1">3.50056243886909*OFFSET(I$113,MATCH($N$1,$C$113:$C$114,0)-1,0)</f>
        <v>3.5005624388690899</v>
      </c>
      <c r="J25" s="38">
        <f ca="1">3.50047666021166*OFFSET(J$113,MATCH($N$1,$C$113:$C$114,0)-1,0)</f>
        <v>3.5004766602116599</v>
      </c>
      <c r="K25" s="38">
        <f ca="1">4.47865458085326*OFFSET(K$113,MATCH($N$1,$C$113:$C$114,0)-1,0)</f>
        <v>4.4786545808532603</v>
      </c>
      <c r="L25" s="38">
        <f ca="1">3.72922639099833*OFFSET(L$113,MATCH($N$1,$C$113:$C$114,0)-1,0)</f>
        <v>3.7292263909983299</v>
      </c>
      <c r="M25" s="38">
        <f ca="1">4.78660894951157*OFFSET(M$113,MATCH($N$1,$C$113:$C$114,0)-1,0)</f>
        <v>4.78660894951157</v>
      </c>
      <c r="N25" s="38">
        <v>5.0564643953299004</v>
      </c>
      <c r="O25" s="29">
        <f t="shared" ca="1" si="0"/>
        <v>1.9610712983292744</v>
      </c>
      <c r="P25" s="29">
        <f t="shared" ca="1" si="1"/>
        <v>0.44450738746652751</v>
      </c>
    </row>
    <row r="26" spans="1:16" ht="18" customHeight="1">
      <c r="A26" s="189"/>
      <c r="B26" s="37" t="s">
        <v>207</v>
      </c>
      <c r="C26" s="33"/>
      <c r="D26" s="33">
        <f ca="1">57.21*OFFSET(D$113,MATCH($N$1,$C$113:$C$114,0)-1,0)</f>
        <v>57.21</v>
      </c>
      <c r="E26" s="33">
        <f ca="1">64.49*OFFSET(E$113,MATCH($N$1,$C$113:$C$114,0)-1,0)</f>
        <v>64.489999999999995</v>
      </c>
      <c r="F26" s="33">
        <f ca="1">41.01*OFFSET(F$113,MATCH($N$1,$C$113:$C$114,0)-1,0)</f>
        <v>41.01</v>
      </c>
      <c r="G26" s="33">
        <f ca="1">34.61*OFFSET(G$113,MATCH($N$1,$C$113:$C$114,0)-1,0)</f>
        <v>34.61</v>
      </c>
      <c r="H26" s="33">
        <f ca="1">91.52*OFFSET(H$113,MATCH($N$1,$C$113:$C$114,0)-1,0)</f>
        <v>91.52</v>
      </c>
      <c r="I26" s="33">
        <f ca="1">72.11*OFFSET(I$113,MATCH($N$1,$C$113:$C$114,0)-1,0)</f>
        <v>72.11</v>
      </c>
      <c r="J26" s="33">
        <f ca="1">87.87*OFFSET(J$113,MATCH($N$1,$C$113:$C$114,0)-1,0)</f>
        <v>87.87</v>
      </c>
      <c r="K26" s="33">
        <f ca="1">108.09*OFFSET(K$113,MATCH($N$1,$C$113:$C$114,0)-1,0)</f>
        <v>108.09</v>
      </c>
      <c r="L26" s="33">
        <f ca="1">89.4*OFFSET(L$113,MATCH($N$1,$C$113:$C$114,0)-1,0)</f>
        <v>89.4</v>
      </c>
      <c r="M26" s="33">
        <f ca="1">108.82*OFFSET(M$113,MATCH($N$1,$C$113:$C$114,0)-1,0)</f>
        <v>108.82</v>
      </c>
      <c r="N26" s="33">
        <v>117.03</v>
      </c>
      <c r="O26" s="29">
        <f t="shared" ca="1" si="0"/>
        <v>1.0456213948610382</v>
      </c>
      <c r="P26" s="29">
        <f t="shared" ca="1" si="1"/>
        <v>0.3318538750426766</v>
      </c>
    </row>
    <row r="27" spans="1:16" ht="18" customHeight="1">
      <c r="A27" s="190"/>
      <c r="B27" s="37" t="s">
        <v>208</v>
      </c>
      <c r="C27" s="33"/>
      <c r="D27" s="33">
        <f ca="1">10.62*OFFSET(D$113,MATCH($N$1,$C$113:$C$114,0)-1,0)</f>
        <v>10.62</v>
      </c>
      <c r="E27" s="33">
        <f ca="1">21.13*OFFSET(E$113,MATCH($N$1,$C$113:$C$114,0)-1,0)</f>
        <v>21.13</v>
      </c>
      <c r="F27" s="33">
        <f ca="1">12.09*OFFSET(F$113,MATCH($N$1,$C$113:$C$114,0)-1,0)</f>
        <v>12.09</v>
      </c>
      <c r="G27" s="33">
        <f ca="1">11.46*OFFSET(G$113,MATCH($N$1,$C$113:$C$114,0)-1,0)</f>
        <v>11.46</v>
      </c>
      <c r="H27" s="33">
        <f ca="1">33.78*OFFSET(H$113,MATCH($N$1,$C$113:$C$114,0)-1,0)</f>
        <v>33.78</v>
      </c>
      <c r="I27" s="33">
        <f ca="1">23.15*OFFSET(I$113,MATCH($N$1,$C$113:$C$114,0)-1,0)</f>
        <v>23.15</v>
      </c>
      <c r="J27" s="33">
        <f ca="1">25.7*OFFSET(J$113,MATCH($N$1,$C$113:$C$114,0)-1,0)</f>
        <v>25.7</v>
      </c>
      <c r="K27" s="33">
        <f ca="1">36.1*OFFSET(K$113,MATCH($N$1,$C$113:$C$114,0)-1,0)</f>
        <v>36.1</v>
      </c>
      <c r="L27" s="33">
        <f ca="1">29.25*OFFSET(L$113,MATCH($N$1,$C$113:$C$114,0)-1,0)</f>
        <v>29.25</v>
      </c>
      <c r="M27" s="33">
        <f ca="1">43.37*OFFSET(M$113,MATCH($N$1,$C$113:$C$114,0)-1,0)</f>
        <v>43.37</v>
      </c>
      <c r="N27" s="33">
        <v>44.09</v>
      </c>
      <c r="O27" s="34">
        <f t="shared" ca="1" si="0"/>
        <v>3.1516007532956691</v>
      </c>
      <c r="P27" s="34">
        <f t="shared" ca="1" si="1"/>
        <v>0.71556420233463058</v>
      </c>
    </row>
    <row r="28" spans="1:16" s="78" customFormat="1" ht="18" customHeight="1">
      <c r="A28" s="191" t="s">
        <v>209</v>
      </c>
      <c r="B28" s="82" t="s">
        <v>200</v>
      </c>
      <c r="C28" s="83"/>
      <c r="D28" s="83">
        <f ca="1">47.4*OFFSET(D$113,MATCH($N$1,$C$113:$C$114,0)-1,0)</f>
        <v>47.4</v>
      </c>
      <c r="E28" s="83">
        <f ca="1">41.2*OFFSET(E$113,MATCH($N$1,$C$113:$C$114,0)-1,0)</f>
        <v>41.2</v>
      </c>
      <c r="F28" s="83">
        <f ca="1">37.3*OFFSET(F$113,MATCH($N$1,$C$113:$C$114,0)-1,0)</f>
        <v>37.299999999999997</v>
      </c>
      <c r="G28" s="83">
        <f ca="1">45.3*OFFSET(G$113,MATCH($N$1,$C$113:$C$114,0)-1,0)</f>
        <v>45.3</v>
      </c>
      <c r="H28" s="83">
        <f ca="1">46.6*OFFSET(H$113,MATCH($N$1,$C$113:$C$114,0)-1,0)</f>
        <v>46.6</v>
      </c>
      <c r="I28" s="83">
        <f ca="1">40.5*OFFSET(I$113,MATCH($N$1,$C$113:$C$114,0)-1,0)</f>
        <v>40.5</v>
      </c>
      <c r="J28" s="83">
        <f ca="1">46.5*OFFSET(J$113,MATCH($N$1,$C$113:$C$114,0)-1,0)</f>
        <v>46.5</v>
      </c>
      <c r="K28" s="83">
        <f ca="1">53*OFFSET(K$113,MATCH($N$1,$C$113:$C$114,0)-1,0)</f>
        <v>53</v>
      </c>
      <c r="L28" s="83">
        <f ca="1">38.2*OFFSET(L$113,MATCH($N$1,$C$113:$C$114,0)-1,0)</f>
        <v>38.200000000000003</v>
      </c>
      <c r="M28" s="83">
        <f ca="1">41.4*OFFSET(M$113,MATCH($N$1,$C$113:$C$114,0)-1,0)</f>
        <v>41.4</v>
      </c>
      <c r="N28" s="83">
        <v>43</v>
      </c>
      <c r="O28" s="84">
        <f t="shared" ca="1" si="0"/>
        <v>-9.2827004219409259E-2</v>
      </c>
      <c r="P28" s="84">
        <f t="shared" ca="1" si="1"/>
        <v>-7.5268817204301078E-2</v>
      </c>
    </row>
    <row r="29" spans="1:16" s="78" customFormat="1" ht="18" customHeight="1">
      <c r="A29" s="192"/>
      <c r="B29" s="85" t="s">
        <v>210</v>
      </c>
      <c r="C29" s="86"/>
      <c r="D29" s="86">
        <f ca="1">1*OFFSET(D$113,MATCH($N$1,$C$113:$C$114,0)-1,0)</f>
        <v>1</v>
      </c>
      <c r="E29" s="86">
        <f ca="1">6.1*OFFSET(E$113,MATCH($N$1,$C$113:$C$114,0)-1,0)</f>
        <v>6.1</v>
      </c>
      <c r="F29" s="86">
        <f ca="1">1.3*OFFSET(F$113,MATCH($N$1,$C$113:$C$114,0)-1,0)</f>
        <v>1.3</v>
      </c>
      <c r="G29" s="86">
        <f ca="1">0.5*OFFSET(G$113,MATCH($N$1,$C$113:$C$114,0)-1,0)</f>
        <v>0.5</v>
      </c>
      <c r="H29" s="86">
        <f ca="1">0.3*OFFSET(H$113,MATCH($N$1,$C$113:$C$114,0)-1,0)</f>
        <v>0.3</v>
      </c>
      <c r="I29" s="86">
        <f ca="1">2.4*OFFSET(I$113,MATCH($N$1,$C$113:$C$114,0)-1,0)</f>
        <v>2.4</v>
      </c>
      <c r="J29" s="86">
        <f ca="1">0.8*OFFSET(J$113,MATCH($N$1,$C$113:$C$114,0)-1,0)</f>
        <v>0.8</v>
      </c>
      <c r="K29" s="86">
        <f ca="1">0.8*OFFSET(K$113,MATCH($N$1,$C$113:$C$114,0)-1,0)</f>
        <v>0.8</v>
      </c>
      <c r="L29" s="86">
        <f ca="1">6.2*OFFSET(L$113,MATCH($N$1,$C$113:$C$114,0)-1,0)</f>
        <v>6.2</v>
      </c>
      <c r="M29" s="86">
        <f ca="1">0.6*OFFSET(M$113,MATCH($N$1,$C$113:$C$114,0)-1,0)</f>
        <v>0.6</v>
      </c>
      <c r="N29" s="86">
        <v>0.4</v>
      </c>
      <c r="O29" s="84">
        <f t="shared" ca="1" si="0"/>
        <v>-0.6</v>
      </c>
      <c r="P29" s="84">
        <f t="shared" ca="1" si="1"/>
        <v>-0.5</v>
      </c>
    </row>
    <row r="30" spans="1:16" s="78" customFormat="1" ht="18" customHeight="1">
      <c r="A30" s="192"/>
      <c r="B30" s="87" t="s">
        <v>211</v>
      </c>
      <c r="C30" s="88"/>
      <c r="D30" s="88">
        <f ca="1">48.4*OFFSET(D$113,MATCH($N$1,$C$113:$C$114,0)-1,0)</f>
        <v>48.4</v>
      </c>
      <c r="E30" s="88">
        <f ca="1">47.3*OFFSET(E$113,MATCH($N$1,$C$113:$C$114,0)-1,0)</f>
        <v>47.3</v>
      </c>
      <c r="F30" s="88">
        <f ca="1">38.6*OFFSET(F$113,MATCH($N$1,$C$113:$C$114,0)-1,0)</f>
        <v>38.6</v>
      </c>
      <c r="G30" s="88">
        <f ca="1">45.7*OFFSET(G$113,MATCH($N$1,$C$113:$C$114,0)-1,0)</f>
        <v>45.7</v>
      </c>
      <c r="H30" s="88">
        <f ca="1">46.9*OFFSET(H$113,MATCH($N$1,$C$113:$C$114,0)-1,0)</f>
        <v>46.9</v>
      </c>
      <c r="I30" s="88">
        <f ca="1">42.9*OFFSET(I$113,MATCH($N$1,$C$113:$C$114,0)-1,0)</f>
        <v>42.9</v>
      </c>
      <c r="J30" s="88">
        <f ca="1">47.3*OFFSET(J$113,MATCH($N$1,$C$113:$C$114,0)-1,0)</f>
        <v>47.3</v>
      </c>
      <c r="K30" s="88">
        <f ca="1">53.9*OFFSET(K$113,MATCH($N$1,$C$113:$C$114,0)-1,0)</f>
        <v>53.9</v>
      </c>
      <c r="L30" s="88">
        <f ca="1">44.4*OFFSET(L$113,MATCH($N$1,$C$113:$C$114,0)-1,0)</f>
        <v>44.4</v>
      </c>
      <c r="M30" s="88">
        <f ca="1">42*OFFSET(M$113,MATCH($N$1,$C$113:$C$114,0)-1,0)</f>
        <v>42</v>
      </c>
      <c r="N30" s="88">
        <v>43.4</v>
      </c>
      <c r="O30" s="84">
        <f t="shared" ca="1" si="0"/>
        <v>-0.10330578512396695</v>
      </c>
      <c r="P30" s="84">
        <f t="shared" ca="1" si="1"/>
        <v>-8.2452431289640568E-2</v>
      </c>
    </row>
    <row r="31" spans="1:16" s="78" customFormat="1" ht="18" customHeight="1">
      <c r="A31" s="192"/>
      <c r="B31" s="85" t="s">
        <v>212</v>
      </c>
      <c r="C31" s="86"/>
      <c r="D31" s="86">
        <f ca="1">4.4*OFFSET(D$113,MATCH($N$1,$C$113:$C$114,0)-1,0)</f>
        <v>4.4000000000000004</v>
      </c>
      <c r="E31" s="86">
        <f ca="1">3.6*OFFSET(E$113,MATCH($N$1,$C$113:$C$114,0)-1,0)</f>
        <v>3.6</v>
      </c>
      <c r="F31" s="86">
        <f ca="1">3.8*OFFSET(F$113,MATCH($N$1,$C$113:$C$114,0)-1,0)</f>
        <v>3.8</v>
      </c>
      <c r="G31" s="86">
        <f ca="1">3.3*OFFSET(G$113,MATCH($N$1,$C$113:$C$114,0)-1,0)</f>
        <v>3.3</v>
      </c>
      <c r="H31" s="86">
        <f ca="1">2.5*OFFSET(H$113,MATCH($N$1,$C$113:$C$114,0)-1,0)</f>
        <v>2.5</v>
      </c>
      <c r="I31" s="86">
        <f ca="1">2.2*OFFSET(I$113,MATCH($N$1,$C$113:$C$114,0)-1,0)</f>
        <v>2.2000000000000002</v>
      </c>
      <c r="J31" s="86">
        <f ca="1">2.7*OFFSET(J$113,MATCH($N$1,$C$113:$C$114,0)-1,0)</f>
        <v>2.7</v>
      </c>
      <c r="K31" s="86">
        <f ca="1">2.7*OFFSET(K$113,MATCH($N$1,$C$113:$C$114,0)-1,0)</f>
        <v>2.7</v>
      </c>
      <c r="L31" s="86">
        <f ca="1">1.5*OFFSET(L$113,MATCH($N$1,$C$113:$C$114,0)-1,0)</f>
        <v>1.5</v>
      </c>
      <c r="M31" s="86">
        <f ca="1">2*OFFSET(M$113,MATCH($N$1,$C$113:$C$114,0)-1,0)</f>
        <v>2</v>
      </c>
      <c r="N31" s="86">
        <v>3.3000000000000003</v>
      </c>
      <c r="O31" s="84">
        <f t="shared" ca="1" si="0"/>
        <v>-0.25</v>
      </c>
      <c r="P31" s="84">
        <f t="shared" ca="1" si="1"/>
        <v>0.22222222222222224</v>
      </c>
    </row>
    <row r="32" spans="1:16" s="78" customFormat="1" ht="18" customHeight="1">
      <c r="A32" s="192"/>
      <c r="B32" s="85" t="s">
        <v>213</v>
      </c>
      <c r="C32" s="86"/>
      <c r="D32" s="86">
        <f ca="1">14.6*OFFSET(D$113,MATCH($N$1,$C$113:$C$114,0)-1,0)</f>
        <v>14.6</v>
      </c>
      <c r="E32" s="86">
        <f ca="1">10.8*OFFSET(E$113,MATCH($N$1,$C$113:$C$114,0)-1,0)</f>
        <v>10.8</v>
      </c>
      <c r="F32" s="86">
        <f ca="1">10.9*OFFSET(F$113,MATCH($N$1,$C$113:$C$114,0)-1,0)</f>
        <v>10.9</v>
      </c>
      <c r="G32" s="86">
        <f ca="1">8.8*OFFSET(G$113,MATCH($N$1,$C$113:$C$114,0)-1,0)</f>
        <v>8.8000000000000007</v>
      </c>
      <c r="H32" s="86">
        <f ca="1">9.2*OFFSET(H$113,MATCH($N$1,$C$113:$C$114,0)-1,0)</f>
        <v>9.1999999999999993</v>
      </c>
      <c r="I32" s="86">
        <f ca="1">7.9*OFFSET(I$113,MATCH($N$1,$C$113:$C$114,0)-1,0)</f>
        <v>7.9</v>
      </c>
      <c r="J32" s="86">
        <f ca="1">14.5*OFFSET(J$113,MATCH($N$1,$C$113:$C$114,0)-1,0)</f>
        <v>14.5</v>
      </c>
      <c r="K32" s="86">
        <f ca="1">15.9*OFFSET(K$113,MATCH($N$1,$C$113:$C$114,0)-1,0)</f>
        <v>15.9</v>
      </c>
      <c r="L32" s="86">
        <f ca="1">10*OFFSET(L$113,MATCH($N$1,$C$113:$C$114,0)-1,0)</f>
        <v>10</v>
      </c>
      <c r="M32" s="86">
        <f ca="1">12.4*OFFSET(M$113,MATCH($N$1,$C$113:$C$114,0)-1,0)</f>
        <v>12.4</v>
      </c>
      <c r="N32" s="86">
        <v>12.4</v>
      </c>
      <c r="O32" s="84">
        <f t="shared" ca="1" si="0"/>
        <v>-0.15068493150684928</v>
      </c>
      <c r="P32" s="84">
        <f t="shared" ca="1" si="1"/>
        <v>-0.14482758620689654</v>
      </c>
    </row>
    <row r="33" spans="1:16" s="78" customFormat="1" ht="18" customHeight="1">
      <c r="A33" s="192"/>
      <c r="B33" s="85" t="s">
        <v>214</v>
      </c>
      <c r="C33" s="86"/>
      <c r="D33" s="86">
        <f ca="1">12.3*OFFSET(D$113,MATCH($N$1,$C$113:$C$114,0)-1,0)</f>
        <v>12.3</v>
      </c>
      <c r="E33" s="86">
        <f ca="1">8.5*OFFSET(E$113,MATCH($N$1,$C$113:$C$114,0)-1,0)</f>
        <v>8.5</v>
      </c>
      <c r="F33" s="86">
        <f ca="1">5.1*OFFSET(F$113,MATCH($N$1,$C$113:$C$114,0)-1,0)</f>
        <v>5.0999999999999996</v>
      </c>
      <c r="G33" s="86">
        <f ca="1">12.4*OFFSET(G$113,MATCH($N$1,$C$113:$C$114,0)-1,0)</f>
        <v>12.4</v>
      </c>
      <c r="H33" s="86">
        <f ca="1">11.3*OFFSET(H$113,MATCH($N$1,$C$113:$C$114,0)-1,0)</f>
        <v>11.3</v>
      </c>
      <c r="I33" s="86">
        <f ca="1">12.8*OFFSET(I$113,MATCH($N$1,$C$113:$C$114,0)-1,0)</f>
        <v>12.8</v>
      </c>
      <c r="J33" s="86">
        <f ca="1">6.6*OFFSET(J$113,MATCH($N$1,$C$113:$C$114,0)-1,0)</f>
        <v>6.6</v>
      </c>
      <c r="K33" s="86">
        <f ca="1">7.4*OFFSET(K$113,MATCH($N$1,$C$113:$C$114,0)-1,0)</f>
        <v>7.4</v>
      </c>
      <c r="L33" s="86">
        <f ca="1">6*OFFSET(L$113,MATCH($N$1,$C$113:$C$114,0)-1,0)</f>
        <v>6</v>
      </c>
      <c r="M33" s="86">
        <f ca="1">3.5*OFFSET(M$113,MATCH($N$1,$C$113:$C$114,0)-1,0)</f>
        <v>3.5</v>
      </c>
      <c r="N33" s="86">
        <v>3.6</v>
      </c>
      <c r="O33" s="84">
        <f t="shared" ca="1" si="0"/>
        <v>-0.70731707317073178</v>
      </c>
      <c r="P33" s="84">
        <f t="shared" ca="1" si="1"/>
        <v>-0.45454545454545453</v>
      </c>
    </row>
    <row r="34" spans="1:16" s="78" customFormat="1" ht="18" customHeight="1">
      <c r="A34" s="192"/>
      <c r="B34" s="85" t="s">
        <v>215</v>
      </c>
      <c r="C34" s="86"/>
      <c r="D34" s="86">
        <f ca="1">31.3*OFFSET(D$113,MATCH($N$1,$C$113:$C$114,0)-1,0)</f>
        <v>31.3</v>
      </c>
      <c r="E34" s="86">
        <f ca="1">22.9*OFFSET(E$113,MATCH($N$1,$C$113:$C$114,0)-1,0)</f>
        <v>22.9</v>
      </c>
      <c r="F34" s="86">
        <f ca="1">19.7*OFFSET(F$113,MATCH($N$1,$C$113:$C$114,0)-1,0)</f>
        <v>19.7</v>
      </c>
      <c r="G34" s="86">
        <f ca="1">24.5*OFFSET(G$113,MATCH($N$1,$C$113:$C$114,0)-1,0)</f>
        <v>24.5</v>
      </c>
      <c r="H34" s="86">
        <f ca="1">23*OFFSET(H$113,MATCH($N$1,$C$113:$C$114,0)-1,0)</f>
        <v>23</v>
      </c>
      <c r="I34" s="86">
        <f ca="1">22.9*OFFSET(I$113,MATCH($N$1,$C$113:$C$114,0)-1,0)</f>
        <v>22.9</v>
      </c>
      <c r="J34" s="86">
        <f ca="1">23.8*OFFSET(J$113,MATCH($N$1,$C$113:$C$114,0)-1,0)</f>
        <v>23.8</v>
      </c>
      <c r="K34" s="86">
        <f ca="1">26*OFFSET(K$113,MATCH($N$1,$C$113:$C$114,0)-1,0)</f>
        <v>26</v>
      </c>
      <c r="L34" s="86">
        <f ca="1">17.5*OFFSET(L$113,MATCH($N$1,$C$113:$C$114,0)-1,0)</f>
        <v>17.5</v>
      </c>
      <c r="M34" s="86">
        <f ca="1">17.9*OFFSET(M$113,MATCH($N$1,$C$113:$C$114,0)-1,0)</f>
        <v>17.899999999999999</v>
      </c>
      <c r="N34" s="86">
        <v>19.400000000000002</v>
      </c>
      <c r="O34" s="84">
        <f t="shared" ca="1" si="0"/>
        <v>-0.38019169329073477</v>
      </c>
      <c r="P34" s="84">
        <f t="shared" ca="1" si="1"/>
        <v>-0.18487394957983186</v>
      </c>
    </row>
    <row r="35" spans="1:16" s="78" customFormat="1" ht="18" customHeight="1">
      <c r="A35" s="192"/>
      <c r="B35" s="85" t="s">
        <v>216</v>
      </c>
      <c r="C35" s="86"/>
      <c r="D35" s="86">
        <f ca="1">8.4*OFFSET(D$113,MATCH($N$1,$C$113:$C$114,0)-1,0)</f>
        <v>8.4</v>
      </c>
      <c r="E35" s="86">
        <f ca="1">10.9*OFFSET(E$113,MATCH($N$1,$C$113:$C$114,0)-1,0)</f>
        <v>10.9</v>
      </c>
      <c r="F35" s="86">
        <f ca="1">8*OFFSET(F$113,MATCH($N$1,$C$113:$C$114,0)-1,0)</f>
        <v>8</v>
      </c>
      <c r="G35" s="86">
        <f ca="1">6.3*OFFSET(G$113,MATCH($N$1,$C$113:$C$114,0)-1,0)</f>
        <v>6.3</v>
      </c>
      <c r="H35" s="86">
        <f ca="1">6.7*OFFSET(H$113,MATCH($N$1,$C$113:$C$114,0)-1,0)</f>
        <v>6.7</v>
      </c>
      <c r="I35" s="86">
        <f ca="1">7.1*OFFSET(I$113,MATCH($N$1,$C$113:$C$114,0)-1,0)</f>
        <v>7.1</v>
      </c>
      <c r="J35" s="86">
        <f ca="1">9.9*OFFSET(J$113,MATCH($N$1,$C$113:$C$114,0)-1,0)</f>
        <v>9.9</v>
      </c>
      <c r="K35" s="86">
        <f ca="1">10.1*OFFSET(K$113,MATCH($N$1,$C$113:$C$114,0)-1,0)</f>
        <v>10.1</v>
      </c>
      <c r="L35" s="86">
        <f ca="1">14.3*OFFSET(L$113,MATCH($N$1,$C$113:$C$114,0)-1,0)</f>
        <v>14.3</v>
      </c>
      <c r="M35" s="86">
        <f ca="1">7.5*OFFSET(M$113,MATCH($N$1,$C$113:$C$114,0)-1,0)</f>
        <v>7.5</v>
      </c>
      <c r="N35" s="86">
        <v>7.8</v>
      </c>
      <c r="O35" s="84">
        <f t="shared" ca="1" si="0"/>
        <v>-7.1428571428571494E-2</v>
      </c>
      <c r="P35" s="84">
        <f t="shared" ca="1" si="1"/>
        <v>-0.21212121212121215</v>
      </c>
    </row>
    <row r="36" spans="1:16" s="78" customFormat="1" ht="18" customHeight="1">
      <c r="A36" s="192"/>
      <c r="B36" s="85" t="s">
        <v>217</v>
      </c>
      <c r="C36" s="86"/>
      <c r="D36" s="86">
        <f ca="1">39.6*OFFSET(D$113,MATCH($N$1,$C$113:$C$114,0)-1,0)</f>
        <v>39.6</v>
      </c>
      <c r="E36" s="86">
        <f ca="1">33.8*OFFSET(E$113,MATCH($N$1,$C$113:$C$114,0)-1,0)</f>
        <v>33.799999999999997</v>
      </c>
      <c r="F36" s="86">
        <f ca="1">27.7*OFFSET(F$113,MATCH($N$1,$C$113:$C$114,0)-1,0)</f>
        <v>27.7</v>
      </c>
      <c r="G36" s="86">
        <f ca="1">30.7*OFFSET(G$113,MATCH($N$1,$C$113:$C$114,0)-1,0)</f>
        <v>30.7</v>
      </c>
      <c r="H36" s="86">
        <f ca="1">29.7*OFFSET(H$113,MATCH($N$1,$C$113:$C$114,0)-1,0)</f>
        <v>29.7</v>
      </c>
      <c r="I36" s="86">
        <f ca="1">29.9*OFFSET(I$113,MATCH($N$1,$C$113:$C$114,0)-1,0)</f>
        <v>29.9</v>
      </c>
      <c r="J36" s="86">
        <f ca="1">33.7*OFFSET(J$113,MATCH($N$1,$C$113:$C$114,0)-1,0)</f>
        <v>33.700000000000003</v>
      </c>
      <c r="K36" s="86">
        <f ca="1">36.1*OFFSET(K$113,MATCH($N$1,$C$113:$C$114,0)-1,0)</f>
        <v>36.1</v>
      </c>
      <c r="L36" s="86">
        <f ca="1">31.8*OFFSET(L$113,MATCH($N$1,$C$113:$C$114,0)-1,0)</f>
        <v>31.8</v>
      </c>
      <c r="M36" s="86">
        <f ca="1">25.4*OFFSET(M$113,MATCH($N$1,$C$113:$C$114,0)-1,0)</f>
        <v>25.4</v>
      </c>
      <c r="N36" s="86">
        <v>27.2</v>
      </c>
      <c r="O36" s="84">
        <f t="shared" ca="1" si="0"/>
        <v>-0.31313131313131315</v>
      </c>
      <c r="P36" s="84">
        <f t="shared" ca="1" si="1"/>
        <v>-0.19287833827893183</v>
      </c>
    </row>
    <row r="37" spans="1:16" s="78" customFormat="1" ht="18" customHeight="1">
      <c r="A37" s="192"/>
      <c r="B37" s="87" t="s">
        <v>218</v>
      </c>
      <c r="C37" s="88"/>
      <c r="D37" s="88">
        <f ca="1">23.4*OFFSET(D$113,MATCH($N$1,$C$113:$C$114,0)-1,0)</f>
        <v>23.4</v>
      </c>
      <c r="E37" s="88">
        <f ca="1">24.3*OFFSET(E$113,MATCH($N$1,$C$113:$C$114,0)-1,0)</f>
        <v>24.3</v>
      </c>
      <c r="F37" s="88">
        <f ca="1">21.9*OFFSET(F$113,MATCH($N$1,$C$113:$C$114,0)-1,0)</f>
        <v>21.9</v>
      </c>
      <c r="G37" s="88">
        <f ca="1">23.8*OFFSET(G$113,MATCH($N$1,$C$113:$C$114,0)-1,0)</f>
        <v>23.8</v>
      </c>
      <c r="H37" s="88">
        <f ca="1">26.4*OFFSET(H$113,MATCH($N$1,$C$113:$C$114,0)-1,0)</f>
        <v>26.4</v>
      </c>
      <c r="I37" s="88">
        <f ca="1">20.9*OFFSET(I$113,MATCH($N$1,$C$113:$C$114,0)-1,0)</f>
        <v>20.9</v>
      </c>
      <c r="J37" s="88">
        <f ca="1">28.1*OFFSET(J$113,MATCH($N$1,$C$113:$C$114,0)-1,0)</f>
        <v>28.1</v>
      </c>
      <c r="K37" s="88">
        <f ca="1">33.6*OFFSET(K$113,MATCH($N$1,$C$113:$C$114,0)-1,0)</f>
        <v>33.6</v>
      </c>
      <c r="L37" s="88">
        <f ca="1">22.5*OFFSET(L$113,MATCH($N$1,$C$113:$C$114,0)-1,0)</f>
        <v>22.5</v>
      </c>
      <c r="M37" s="88">
        <f ca="1">28.9*OFFSET(M$113,MATCH($N$1,$C$113:$C$114,0)-1,0)</f>
        <v>28.9</v>
      </c>
      <c r="N37" s="88">
        <v>28.6</v>
      </c>
      <c r="O37" s="84">
        <f t="shared" ca="1" si="0"/>
        <v>0.22222222222222235</v>
      </c>
      <c r="P37" s="84">
        <f t="shared" ca="1" si="1"/>
        <v>1.779359430604982E-2</v>
      </c>
    </row>
    <row r="38" spans="1:16" s="78" customFormat="1" ht="18" customHeight="1">
      <c r="A38" s="192"/>
      <c r="B38" s="87" t="s">
        <v>219</v>
      </c>
      <c r="C38" s="88"/>
      <c r="D38" s="88">
        <f ca="1">8.8*OFFSET(D$113,MATCH($N$1,$C$113:$C$114,0)-1,0)</f>
        <v>8.8000000000000007</v>
      </c>
      <c r="E38" s="88">
        <f ca="1">13.5*OFFSET(E$113,MATCH($N$1,$C$113:$C$114,0)-1,0)</f>
        <v>13.5</v>
      </c>
      <c r="F38" s="88">
        <f ca="1">11*OFFSET(F$113,MATCH($N$1,$C$113:$C$114,0)-1,0)</f>
        <v>11</v>
      </c>
      <c r="G38" s="88">
        <f ca="1">15*OFFSET(G$113,MATCH($N$1,$C$113:$C$114,0)-1,0)</f>
        <v>15</v>
      </c>
      <c r="H38" s="88">
        <f ca="1">17.2*OFFSET(H$113,MATCH($N$1,$C$113:$C$114,0)-1,0)</f>
        <v>17.2</v>
      </c>
      <c r="I38" s="88">
        <f ca="1">13*OFFSET(I$113,MATCH($N$1,$C$113:$C$114,0)-1,0)</f>
        <v>13</v>
      </c>
      <c r="J38" s="88">
        <f ca="1">13.6*OFFSET(J$113,MATCH($N$1,$C$113:$C$114,0)-1,0)</f>
        <v>13.6</v>
      </c>
      <c r="K38" s="88">
        <f ca="1">17.7*OFFSET(K$113,MATCH($N$1,$C$113:$C$114,0)-1,0)</f>
        <v>17.7</v>
      </c>
      <c r="L38" s="88">
        <f ca="1">12.5*OFFSET(L$113,MATCH($N$1,$C$113:$C$114,0)-1,0)</f>
        <v>12.5</v>
      </c>
      <c r="M38" s="88">
        <f ca="1">16.5*OFFSET(M$113,MATCH($N$1,$C$113:$C$114,0)-1,0)</f>
        <v>16.5</v>
      </c>
      <c r="N38" s="88">
        <v>16.2</v>
      </c>
      <c r="O38" s="84">
        <f t="shared" ca="1" si="0"/>
        <v>0.84090909090909072</v>
      </c>
      <c r="P38" s="84">
        <f t="shared" ca="1" si="1"/>
        <v>0.19117647058823528</v>
      </c>
    </row>
    <row r="39" spans="1:16" s="78" customFormat="1" ht="18" customHeight="1">
      <c r="A39" s="192"/>
      <c r="B39" s="85" t="s">
        <v>220</v>
      </c>
      <c r="C39" s="86"/>
      <c r="D39" s="86">
        <f ca="1">3*OFFSET(D$113,MATCH($N$1,$C$113:$C$114,0)-1,0)</f>
        <v>3</v>
      </c>
      <c r="E39" s="86">
        <f ca="1">4.4*OFFSET(E$113,MATCH($N$1,$C$113:$C$114,0)-1,0)</f>
        <v>4.4000000000000004</v>
      </c>
      <c r="F39" s="86">
        <f ca="1">2.9*OFFSET(F$113,MATCH($N$1,$C$113:$C$114,0)-1,0)</f>
        <v>2.9</v>
      </c>
      <c r="G39" s="86">
        <f ca="1">2*OFFSET(G$113,MATCH($N$1,$C$113:$C$114,0)-1,0)</f>
        <v>2</v>
      </c>
      <c r="H39" s="86">
        <f ca="1">3*OFFSET(H$113,MATCH($N$1,$C$113:$C$114,0)-1,0)</f>
        <v>3</v>
      </c>
      <c r="I39" s="86">
        <f ca="1">2.2*OFFSET(I$113,MATCH($N$1,$C$113:$C$114,0)-1,0)</f>
        <v>2.2000000000000002</v>
      </c>
      <c r="J39" s="86">
        <f ca="1">2*OFFSET(J$113,MATCH($N$1,$C$113:$C$114,0)-1,0)</f>
        <v>2</v>
      </c>
      <c r="K39" s="86">
        <f ca="1">4.2*OFFSET(K$113,MATCH($N$1,$C$113:$C$114,0)-1,0)</f>
        <v>4.2</v>
      </c>
      <c r="L39" s="86">
        <f ca="1">3.5*OFFSET(L$113,MATCH($N$1,$C$113:$C$114,0)-1,0)</f>
        <v>3.5</v>
      </c>
      <c r="M39" s="86">
        <f ca="1">1.3*OFFSET(M$113,MATCH($N$1,$C$113:$C$114,0)-1,0)</f>
        <v>1.3</v>
      </c>
      <c r="N39" s="86"/>
      <c r="O39" s="84" t="str">
        <f t="shared" si="0"/>
        <v/>
      </c>
      <c r="P39" s="84" t="str">
        <f t="shared" si="1"/>
        <v/>
      </c>
    </row>
    <row r="40" spans="1:16" s="78" customFormat="1" ht="18" customHeight="1">
      <c r="A40" s="192"/>
      <c r="B40" s="85" t="s">
        <v>221</v>
      </c>
      <c r="C40" s="86"/>
      <c r="D40" s="86">
        <f ca="1">0.2*OFFSET(D$113,MATCH($N$1,$C$113:$C$114,0)-1,0)</f>
        <v>0.2</v>
      </c>
      <c r="E40" s="86">
        <f ca="1">0.5*OFFSET(E$113,MATCH($N$1,$C$113:$C$114,0)-1,0)</f>
        <v>0.5</v>
      </c>
      <c r="F40" s="86">
        <f ca="1">0.4*OFFSET(F$113,MATCH($N$1,$C$113:$C$114,0)-1,0)</f>
        <v>0.4</v>
      </c>
      <c r="G40" s="86">
        <f ca="1">0.3*OFFSET(G$113,MATCH($N$1,$C$113:$C$114,0)-1,0)</f>
        <v>0.3</v>
      </c>
      <c r="H40" s="86">
        <f ca="1">0.1*OFFSET(H$113,MATCH($N$1,$C$113:$C$114,0)-1,0)</f>
        <v>0.1</v>
      </c>
      <c r="I40" s="86">
        <f ca="1">0.2*OFFSET(I$113,MATCH($N$1,$C$113:$C$114,0)-1,0)</f>
        <v>0.2</v>
      </c>
      <c r="J40" s="86">
        <f ca="1">0.5*OFFSET(J$113,MATCH($N$1,$C$113:$C$114,0)-1,0)</f>
        <v>0.5</v>
      </c>
      <c r="K40" s="86">
        <f ca="1">0.3*OFFSET(K$113,MATCH($N$1,$C$113:$C$114,0)-1,0)</f>
        <v>0.3</v>
      </c>
      <c r="L40" s="86">
        <f ca="1">0.5*OFFSET(L$113,MATCH($N$1,$C$113:$C$114,0)-1,0)</f>
        <v>0.5</v>
      </c>
      <c r="M40" s="86">
        <f ca="1">0.3*OFFSET(M$113,MATCH($N$1,$C$113:$C$114,0)-1,0)</f>
        <v>0.3</v>
      </c>
      <c r="N40" s="86"/>
      <c r="O40" s="84" t="str">
        <f t="shared" si="0"/>
        <v/>
      </c>
      <c r="P40" s="84" t="str">
        <f t="shared" si="1"/>
        <v/>
      </c>
    </row>
    <row r="41" spans="1:16" s="78" customFormat="1" ht="18" customHeight="1">
      <c r="A41" s="192"/>
      <c r="B41" s="85" t="s">
        <v>222</v>
      </c>
      <c r="C41" s="86"/>
      <c r="D41" s="86">
        <f ca="1">0.2*OFFSET(D$113,MATCH($N$1,$C$113:$C$114,0)-1,0)</f>
        <v>0.2</v>
      </c>
      <c r="E41" s="86">
        <f ca="1">0.4*OFFSET(E$113,MATCH($N$1,$C$113:$C$114,0)-1,0)</f>
        <v>0.4</v>
      </c>
      <c r="F41" s="86">
        <f ca="1">0.2*OFFSET(F$113,MATCH($N$1,$C$113:$C$114,0)-1,0)</f>
        <v>0.2</v>
      </c>
      <c r="G41" s="86">
        <f ca="1">0.1*OFFSET(G$113,MATCH($N$1,$C$113:$C$114,0)-1,0)</f>
        <v>0.1</v>
      </c>
      <c r="H41" s="86">
        <f ca="1">0.1*OFFSET(H$113,MATCH($N$1,$C$113:$C$114,0)-1,0)</f>
        <v>0.1</v>
      </c>
      <c r="I41" s="86">
        <f ca="1">0.1*OFFSET(I$113,MATCH($N$1,$C$113:$C$114,0)-1,0)</f>
        <v>0.1</v>
      </c>
      <c r="J41" s="86">
        <f ca="1">0.9*OFFSET(J$113,MATCH($N$1,$C$113:$C$114,0)-1,0)</f>
        <v>0.9</v>
      </c>
      <c r="K41" s="86">
        <f ca="1">0.6*OFFSET(K$113,MATCH($N$1,$C$113:$C$114,0)-1,0)</f>
        <v>0.6</v>
      </c>
      <c r="L41" s="86">
        <f ca="1">1*OFFSET(L$113,MATCH($N$1,$C$113:$C$114,0)-1,0)</f>
        <v>1</v>
      </c>
      <c r="M41" s="86"/>
      <c r="N41" s="86"/>
      <c r="O41" s="84" t="str">
        <f t="shared" si="0"/>
        <v/>
      </c>
      <c r="P41" s="84" t="str">
        <f t="shared" si="1"/>
        <v/>
      </c>
    </row>
    <row r="42" spans="1:16" s="78" customFormat="1" ht="18" customHeight="1" thickBot="1">
      <c r="A42" s="193"/>
      <c r="B42" s="89" t="s">
        <v>223</v>
      </c>
      <c r="C42" s="90"/>
      <c r="D42" s="90">
        <f ca="1">5.4*OFFSET(D$113,MATCH($N$1,$C$113:$C$114,0)-1,0)</f>
        <v>5.4</v>
      </c>
      <c r="E42" s="90">
        <f ca="1">8.3*OFFSET(E$113,MATCH($N$1,$C$113:$C$114,0)-1,0)</f>
        <v>8.3000000000000007</v>
      </c>
      <c r="F42" s="90">
        <f ca="1">7.5*OFFSET(F$113,MATCH($N$1,$C$113:$C$114,0)-1,0)</f>
        <v>7.5</v>
      </c>
      <c r="G42" s="90">
        <f ca="1">12.6*OFFSET(G$113,MATCH($N$1,$C$113:$C$114,0)-1,0)</f>
        <v>12.6</v>
      </c>
      <c r="H42" s="90">
        <f ca="1">14*OFFSET(H$113,MATCH($N$1,$C$113:$C$114,0)-1,0)</f>
        <v>14</v>
      </c>
      <c r="I42" s="90">
        <f ca="1">10.5*OFFSET(I$113,MATCH($N$1,$C$113:$C$114,0)-1,0)</f>
        <v>10.5</v>
      </c>
      <c r="J42" s="90">
        <f ca="1">10.2*OFFSET(J$113,MATCH($N$1,$C$113:$C$114,0)-1,0)</f>
        <v>10.199999999999999</v>
      </c>
      <c r="K42" s="90">
        <f ca="1">12.6*OFFSET(K$113,MATCH($N$1,$C$113:$C$114,0)-1,0)</f>
        <v>12.6</v>
      </c>
      <c r="L42" s="90">
        <f ca="1">7.5*OFFSET(L$113,MATCH($N$1,$C$113:$C$114,0)-1,0)</f>
        <v>7.5</v>
      </c>
      <c r="M42" s="90">
        <f ca="1">14.9*OFFSET(M$113,MATCH($N$1,$C$113:$C$114,0)-1,0)</f>
        <v>14.9</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160</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Under 10m using hooks</v>
      </c>
      <c r="C49" s="101"/>
      <c r="D49" s="101"/>
      <c r="E49" s="101"/>
      <c r="F49" s="101"/>
      <c r="G49" s="101"/>
      <c r="K49" s="101" t="str">
        <f>$B25&amp;CHAR(10)&amp;$A$1</f>
        <v>Operating profit per kW day at sea (£)
Under 10m using hooks</v>
      </c>
    </row>
    <row r="50" spans="1:11" s="78" customFormat="1">
      <c r="A50" s="101" t="str">
        <f>$B23&amp;CHAR(10)&amp;$A$1</f>
        <v>Fishing income per kW day at sea (£)
Under 10m using hooks</v>
      </c>
    </row>
    <row r="51" spans="1:11" s="78" customFormat="1">
      <c r="A51" s="101" t="str">
        <f>$B21&amp;CHAR(10)&amp;$A$1</f>
        <v>Average price per tonne landed (£)
Under 10m using hooks</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Under 10m using hooks</v>
      </c>
      <c r="F63" s="101" t="str">
        <f>$B21&amp;CHAR(10)&amp;$A$1</f>
        <v>Average price per tonne landed (£)
Under 10m using hooks</v>
      </c>
      <c r="K63" s="101" t="str">
        <f>"Average annual operating profit per vessel (£'000)"&amp;CHAR(10)&amp;$A$1</f>
        <v>Average annual operating profit per vessel (£'000)
Under 10m using hooks</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Under 10m using hooks</v>
      </c>
      <c r="F77" s="101" t="str">
        <f>"Top 5 landed species by value in "&amp;A78&amp;CHAR(10)&amp;A1</f>
        <v>Top 5 landed species by value in 2021
Under 10m using hooks</v>
      </c>
    </row>
    <row r="78" spans="1:11" s="101" customFormat="1">
      <c r="A78" s="101">
        <v>2021</v>
      </c>
      <c r="B78" s="101" t="s">
        <v>616</v>
      </c>
      <c r="C78" s="102">
        <v>0.40772101575497399</v>
      </c>
      <c r="D78" s="103">
        <v>3050596</v>
      </c>
      <c r="G78" s="101" t="s">
        <v>617</v>
      </c>
      <c r="H78" s="102">
        <v>0.31754842243899745</v>
      </c>
      <c r="I78" s="103">
        <v>12153634</v>
      </c>
      <c r="K78" s="101" t="s">
        <v>237</v>
      </c>
    </row>
    <row r="79" spans="1:11" s="101" customFormat="1">
      <c r="B79" s="101" t="s">
        <v>618</v>
      </c>
      <c r="C79" s="102">
        <v>0.15798191097207437</v>
      </c>
      <c r="D79" s="103">
        <v>553960</v>
      </c>
      <c r="G79" s="101" t="s">
        <v>619</v>
      </c>
      <c r="H79" s="102">
        <v>0.31241804653686889</v>
      </c>
      <c r="I79" s="103">
        <v>553960</v>
      </c>
    </row>
    <row r="80" spans="1:11" s="101" customFormat="1">
      <c r="B80" s="101" t="s">
        <v>620</v>
      </c>
      <c r="C80" s="102">
        <v>0.14395871068230551</v>
      </c>
      <c r="D80" s="103">
        <v>1692097</v>
      </c>
      <c r="G80" s="101" t="s">
        <v>621</v>
      </c>
      <c r="H80" s="102">
        <v>0.14369875611184033</v>
      </c>
      <c r="I80" s="103">
        <v>3050596</v>
      </c>
    </row>
    <row r="81" spans="1:19" s="101" customFormat="1">
      <c r="B81" s="101" t="s">
        <v>622</v>
      </c>
      <c r="C81" s="102">
        <v>0.12107948786999236</v>
      </c>
      <c r="D81" s="103">
        <v>12153634</v>
      </c>
      <c r="G81" s="101" t="s">
        <v>623</v>
      </c>
      <c r="H81" s="102">
        <v>9.6610260796359315E-2</v>
      </c>
      <c r="I81" s="103">
        <v>1692097</v>
      </c>
    </row>
    <row r="82" spans="1:19" s="101" customFormat="1">
      <c r="B82" s="101" t="s">
        <v>624</v>
      </c>
      <c r="C82" s="102">
        <v>5.4265999230328904E-2</v>
      </c>
      <c r="D82" s="103">
        <v>11115023</v>
      </c>
      <c r="G82" s="101" t="s">
        <v>625</v>
      </c>
      <c r="H82" s="102">
        <v>4.376517169403684E-2</v>
      </c>
      <c r="I82" s="103">
        <v>3689192</v>
      </c>
    </row>
    <row r="83" spans="1:19" s="101" customFormat="1">
      <c r="B83" s="101" t="s">
        <v>626</v>
      </c>
      <c r="C83" s="102">
        <v>0.11499287549032489</v>
      </c>
      <c r="D83" s="103">
        <v>5920853</v>
      </c>
      <c r="G83" s="101" t="s">
        <v>614</v>
      </c>
      <c r="H83" s="102">
        <v>8.5959342421897178E-2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177</v>
      </c>
      <c r="D93" s="107">
        <v>0.22682605482325513</v>
      </c>
      <c r="E93" s="107">
        <v>0.32116198684164082</v>
      </c>
      <c r="F93" s="107">
        <v>0.25458513133870647</v>
      </c>
      <c r="G93" s="107">
        <v>0.22602518659808027</v>
      </c>
      <c r="H93" s="107">
        <v>0.23398400403203587</v>
      </c>
      <c r="I93" s="107">
        <v>0.24150489706503203</v>
      </c>
      <c r="J93" s="107">
        <v>0.21148227692380761</v>
      </c>
      <c r="K93" s="107">
        <v>0.26617250844189244</v>
      </c>
      <c r="L93" s="107">
        <v>0.31754842243899745</v>
      </c>
      <c r="M93" s="107">
        <v>0.27026726240877952</v>
      </c>
      <c r="O93" s="101">
        <v>12153634</v>
      </c>
    </row>
    <row r="94" spans="1:19" s="101" customFormat="1" hidden="1">
      <c r="B94" s="101">
        <v>2</v>
      </c>
      <c r="C94" s="101" t="s">
        <v>182</v>
      </c>
      <c r="D94" s="107">
        <v>0.31141667646468979</v>
      </c>
      <c r="E94" s="107">
        <v>0.13783119231677812</v>
      </c>
      <c r="F94" s="107">
        <v>0.21859195914844093</v>
      </c>
      <c r="G94" s="107">
        <v>0.2870587358894684</v>
      </c>
      <c r="H94" s="107">
        <v>0.23474274114399213</v>
      </c>
      <c r="I94" s="107">
        <v>0.27208691758001519</v>
      </c>
      <c r="J94" s="107">
        <v>0.35701761239707852</v>
      </c>
      <c r="K94" s="107">
        <v>0.29830205014996841</v>
      </c>
      <c r="L94" s="107">
        <v>0.31241804653686889</v>
      </c>
      <c r="M94" s="107">
        <v>0.28655494477962112</v>
      </c>
      <c r="O94" s="101">
        <v>553960</v>
      </c>
    </row>
    <row r="95" spans="1:19" s="101" customFormat="1" hidden="1">
      <c r="B95" s="101">
        <v>3</v>
      </c>
      <c r="C95" s="101" t="s">
        <v>123</v>
      </c>
      <c r="D95" s="107">
        <v>0.10673358043299384</v>
      </c>
      <c r="E95" s="107">
        <v>0.10508980186432716</v>
      </c>
      <c r="F95" s="107">
        <v>8.0592152990605431E-2</v>
      </c>
      <c r="G95" s="107">
        <v>0.10346648089965994</v>
      </c>
      <c r="H95" s="107">
        <v>0.16773273254079321</v>
      </c>
      <c r="I95" s="107">
        <v>0.12186294089352287</v>
      </c>
      <c r="J95" s="107">
        <v>0.13601013349979019</v>
      </c>
      <c r="K95" s="107">
        <v>0.15718032764933867</v>
      </c>
      <c r="L95" s="107">
        <v>0.14369875611184033</v>
      </c>
      <c r="M95" s="107">
        <v>0.12376892442395364</v>
      </c>
      <c r="O95" s="101">
        <v>3050596</v>
      </c>
    </row>
    <row r="96" spans="1:19" s="101" customFormat="1" hidden="1">
      <c r="B96" s="101">
        <v>4</v>
      </c>
      <c r="C96" s="101" t="s">
        <v>176</v>
      </c>
      <c r="D96" s="107">
        <v>0.16996219309375496</v>
      </c>
      <c r="E96" s="107">
        <v>0.26057548135537073</v>
      </c>
      <c r="F96" s="107">
        <v>0.289731815883218</v>
      </c>
      <c r="G96" s="107">
        <v>0.21506708466008739</v>
      </c>
      <c r="H96" s="107">
        <v>0.16833884726566709</v>
      </c>
      <c r="I96" s="107">
        <v>0.17934107830268026</v>
      </c>
      <c r="J96" s="107">
        <v>0.16231050972396588</v>
      </c>
      <c r="K96" s="107">
        <v>0.14463639657188149</v>
      </c>
      <c r="L96" s="107">
        <v>9.6610260796359315E-2</v>
      </c>
      <c r="M96" s="107">
        <v>0.15871441230610717</v>
      </c>
      <c r="O96" s="101">
        <v>1692097</v>
      </c>
    </row>
    <row r="97" spans="1:15" s="101" customFormat="1" hidden="1">
      <c r="B97" s="101">
        <v>5</v>
      </c>
      <c r="C97" s="101" t="s">
        <v>248</v>
      </c>
      <c r="D97" s="107">
        <v>7.2725228129391348E-2</v>
      </c>
      <c r="E97" s="107">
        <v>5.4083653060282448E-2</v>
      </c>
      <c r="F97" s="107">
        <v>6.912197334418746E-2</v>
      </c>
      <c r="G97" s="107">
        <v>5.596104178183782E-2</v>
      </c>
      <c r="H97" s="107">
        <v>7.3082837561377845E-2</v>
      </c>
      <c r="I97" s="107">
        <v>5.9038540780753532E-2</v>
      </c>
      <c r="J97" s="107">
        <v>4.1046396944281124E-2</v>
      </c>
      <c r="K97" s="107"/>
      <c r="L97" s="107">
        <v>4.376517169403684E-2</v>
      </c>
      <c r="M97" s="107">
        <v>4.7777929187570491E-2</v>
      </c>
      <c r="O97" s="101">
        <v>3689192</v>
      </c>
    </row>
    <row r="98" spans="1:15" s="101" customFormat="1" hidden="1">
      <c r="B98" s="101">
        <v>6</v>
      </c>
      <c r="C98" s="101" t="s">
        <v>168</v>
      </c>
      <c r="D98" s="107"/>
      <c r="E98" s="107"/>
      <c r="F98" s="107"/>
      <c r="G98" s="107"/>
      <c r="H98" s="107"/>
      <c r="I98" s="107"/>
      <c r="J98" s="107"/>
      <c r="K98" s="107">
        <v>3.0758872108378139E-2</v>
      </c>
      <c r="L98" s="107"/>
      <c r="M98" s="107"/>
      <c r="O98" s="101">
        <v>11115023</v>
      </c>
    </row>
    <row r="99" spans="1:15" s="101" customFormat="1" hidden="1">
      <c r="B99" s="101">
        <v>7</v>
      </c>
      <c r="C99" s="101" t="s">
        <v>251</v>
      </c>
      <c r="D99" s="107">
        <v>0.11233626705591494</v>
      </c>
      <c r="E99" s="107">
        <v>0.12125788456160072</v>
      </c>
      <c r="F99" s="107">
        <v>8.7376967294841665E-2</v>
      </c>
      <c r="G99" s="107">
        <v>0.11242147017086619</v>
      </c>
      <c r="H99" s="107">
        <v>0.12211883745613386</v>
      </c>
      <c r="I99" s="107">
        <v>0.12616562537799614</v>
      </c>
      <c r="J99" s="107">
        <v>9.2133070511076706E-2</v>
      </c>
      <c r="K99" s="107">
        <v>0.10294984507854084</v>
      </c>
      <c r="L99" s="107">
        <v>8.5959342421897206E-2</v>
      </c>
      <c r="M99" s="107">
        <v>0.11291652689396811</v>
      </c>
      <c r="O99" s="101">
        <v>5920853</v>
      </c>
    </row>
    <row r="100" spans="1:15" s="101" customFormat="1" hidden="1">
      <c r="B100" s="101">
        <v>8</v>
      </c>
      <c r="D100" s="107"/>
      <c r="E100" s="107"/>
      <c r="F100" s="107"/>
      <c r="G100" s="107"/>
      <c r="H100" s="107"/>
      <c r="I100" s="107"/>
      <c r="J100" s="107"/>
      <c r="K100" s="107"/>
      <c r="L100" s="107"/>
      <c r="M100" s="107"/>
      <c r="O100" s="101">
        <v>7434864</v>
      </c>
    </row>
    <row r="101" spans="1:15" s="101" customFormat="1" hidden="1">
      <c r="B101" s="101">
        <v>9</v>
      </c>
      <c r="D101" s="107"/>
      <c r="E101" s="107"/>
      <c r="F101" s="107"/>
      <c r="G101" s="107"/>
      <c r="H101" s="107"/>
      <c r="I101" s="107"/>
      <c r="J101" s="107"/>
      <c r="K101" s="107"/>
      <c r="L101" s="107"/>
      <c r="M101" s="107"/>
      <c r="O101" s="101">
        <v>8497745</v>
      </c>
    </row>
    <row r="102" spans="1:15" s="101" customFormat="1" hidden="1">
      <c r="B102" s="101">
        <v>10</v>
      </c>
      <c r="D102" s="107"/>
      <c r="E102" s="107"/>
      <c r="F102" s="107"/>
      <c r="G102" s="107"/>
      <c r="H102" s="107"/>
      <c r="I102" s="107"/>
      <c r="J102" s="107"/>
      <c r="K102" s="107"/>
      <c r="L102" s="107"/>
      <c r="M102" s="107"/>
      <c r="O102" s="101">
        <v>14393110</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8</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57</v>
      </c>
      <c r="D121" s="52">
        <v>114</v>
      </c>
      <c r="E121" s="52">
        <v>57</v>
      </c>
      <c r="F121" s="53">
        <v>228</v>
      </c>
    </row>
    <row r="122" spans="1:15" ht="18" customHeight="1">
      <c r="A122" s="186" t="s">
        <v>198</v>
      </c>
      <c r="B122" s="35" t="s">
        <v>199</v>
      </c>
      <c r="C122" s="54">
        <v>6.4831576347351074</v>
      </c>
      <c r="D122" s="54">
        <v>6.8766665458679199</v>
      </c>
      <c r="E122" s="54">
        <v>7.9443860054016113</v>
      </c>
      <c r="F122" s="55">
        <v>7.0452194213867188</v>
      </c>
    </row>
    <row r="123" spans="1:15" ht="18" customHeight="1">
      <c r="A123" s="187"/>
      <c r="B123" s="37" t="s">
        <v>190</v>
      </c>
      <c r="C123" s="56">
        <v>35.456138610839844</v>
      </c>
      <c r="D123" s="56">
        <v>61.894735336303711</v>
      </c>
      <c r="E123" s="56">
        <v>105.07017517089844</v>
      </c>
      <c r="F123" s="57">
        <v>66.078948974609375</v>
      </c>
    </row>
    <row r="124" spans="1:15" ht="18" customHeight="1">
      <c r="A124" s="187"/>
      <c r="B124" s="37" t="s">
        <v>191</v>
      </c>
      <c r="C124" s="56">
        <v>2.104285717010498</v>
      </c>
      <c r="D124" s="56">
        <v>2.5701754093170166</v>
      </c>
      <c r="E124" s="56">
        <v>3.4210526943206787</v>
      </c>
      <c r="F124" s="57">
        <v>2.6688985824584961</v>
      </c>
    </row>
    <row r="125" spans="1:15" ht="18" customHeight="1">
      <c r="A125" s="187"/>
      <c r="B125" s="37" t="s">
        <v>192</v>
      </c>
      <c r="C125" s="56">
        <v>32.600399017333984</v>
      </c>
      <c r="D125" s="56">
        <v>46.550140380859375</v>
      </c>
      <c r="E125" s="56">
        <v>70.553215026855469</v>
      </c>
      <c r="F125" s="57">
        <v>49.063472747802734</v>
      </c>
    </row>
    <row r="126" spans="1:15" ht="18" customHeight="1">
      <c r="A126" s="187"/>
      <c r="B126" s="37" t="s">
        <v>193</v>
      </c>
      <c r="C126" s="33">
        <v>11.039175033569336</v>
      </c>
      <c r="D126" s="33">
        <v>9.6153736114501953</v>
      </c>
      <c r="E126" s="33">
        <v>8.7291345596313477</v>
      </c>
      <c r="F126" s="58">
        <v>9.7497644424438477</v>
      </c>
    </row>
    <row r="127" spans="1:15" ht="18" customHeight="1">
      <c r="A127" s="187"/>
      <c r="B127" s="37" t="s">
        <v>200</v>
      </c>
      <c r="C127" s="33">
        <f ca="1">55.26473828125*OFFSET($L$113,MATCH($N$1,$C$113:$C$114,0)-1,0)</f>
        <v>55.264738281249997</v>
      </c>
      <c r="D127" s="33">
        <f ca="1">39.8816396484375*OFFSET($L$113,MATCH($N$1,$C$113:$C$114,0)-1,0)</f>
        <v>39.881639648437499</v>
      </c>
      <c r="E127" s="33">
        <f ca="1">30.491623046875*OFFSET($L$113,MATCH($N$1,$C$113:$C$114,0)-1,0)</f>
        <v>30.491623046874999</v>
      </c>
      <c r="F127" s="58">
        <f ca="1">41.37991015625*OFFSET($L$113,MATCH($N$1,$C$113:$C$114,0)-1,0)</f>
        <v>41.379910156249998</v>
      </c>
    </row>
    <row r="128" spans="1:15" ht="18" customHeight="1">
      <c r="A128" s="187"/>
      <c r="B128" s="37" t="s">
        <v>195</v>
      </c>
      <c r="C128" s="56">
        <v>44.578948974609375</v>
      </c>
      <c r="D128" s="56">
        <v>58.798244476318359</v>
      </c>
      <c r="E128" s="56">
        <v>58.894737243652344</v>
      </c>
      <c r="F128" s="57">
        <v>55.267543792724609</v>
      </c>
    </row>
    <row r="129" spans="1:15" ht="18" customHeight="1">
      <c r="A129" s="187"/>
      <c r="B129" s="37" t="s">
        <v>201</v>
      </c>
      <c r="C129" s="56">
        <v>24.210525512695313</v>
      </c>
      <c r="D129" s="56">
        <v>24.561403274536133</v>
      </c>
      <c r="E129" s="56">
        <v>23.912281036376953</v>
      </c>
      <c r="F129" s="57">
        <v>24.311403274536133</v>
      </c>
    </row>
    <row r="130" spans="1:15" ht="18" customHeight="1">
      <c r="A130" s="187"/>
      <c r="B130" s="37" t="s">
        <v>202</v>
      </c>
      <c r="C130" s="59">
        <v>0.24763201177120209</v>
      </c>
      <c r="D130" s="59">
        <v>0.16353164447491103</v>
      </c>
      <c r="E130" s="59">
        <v>0.14821586012840271</v>
      </c>
      <c r="F130" s="60">
        <v>0.17641030251979828</v>
      </c>
    </row>
    <row r="131" spans="1:15" ht="18" customHeight="1">
      <c r="A131" s="188"/>
      <c r="B131" s="39" t="s">
        <v>203</v>
      </c>
      <c r="C131" s="40">
        <f ca="1">5006.23806699268*OFFSET($L$113,MATCH($N$1,$C$113:$C$114,0)-1,0)</f>
        <v>5006.2380669926797</v>
      </c>
      <c r="D131" s="40">
        <f ca="1">4147.69527009804*OFFSET($L$113,MATCH($N$1,$C$113:$C$114,0)-1,0)</f>
        <v>4147.6952700980401</v>
      </c>
      <c r="E131" s="40">
        <f ca="1">3493.08660997004*OFFSET($L$113,MATCH($N$1,$C$113:$C$114,0)-1,0)</f>
        <v>3493.0866099700402</v>
      </c>
      <c r="F131" s="61">
        <f ca="1">4244*OFFSET($L$113,MATCH($N$1,$C$113:$C$114,0)-1,0)</f>
        <v>4244</v>
      </c>
    </row>
    <row r="132" spans="1:15" ht="18" customHeight="1">
      <c r="A132" s="198" t="s">
        <v>204</v>
      </c>
      <c r="B132" s="35" t="s">
        <v>205</v>
      </c>
      <c r="C132" s="62">
        <v>6.9610039251465707</v>
      </c>
      <c r="D132" s="62">
        <v>2.9700397739683448</v>
      </c>
      <c r="E132" s="62">
        <v>1.5139345677166267</v>
      </c>
      <c r="F132" s="63">
        <v>2.8205754107382073</v>
      </c>
    </row>
    <row r="133" spans="1:15" ht="18" customHeight="1">
      <c r="A133" s="199"/>
      <c r="B133" s="37" t="s">
        <v>206</v>
      </c>
      <c r="C133" s="59">
        <f ca="1">34.8484428345542*OFFSET($L$113,MATCH($N$1,$C$113:$C$114,0)-1,0)</f>
        <v>34.848442834554199</v>
      </c>
      <c r="D133" s="59">
        <f ca="1">12.3188199224916*OFFSET($L$113,MATCH($N$1,$C$113:$C$114,0)-1,0)</f>
        <v>12.318819922491601</v>
      </c>
      <c r="E133" s="59">
        <f ca="1">5.28830456686173*OFFSET($L$113,MATCH($N$1,$C$113:$C$114,0)-1,0)</f>
        <v>5.2883045668617301</v>
      </c>
      <c r="F133" s="60">
        <f ca="1">11.9710745602403*OFFSET($L$113,MATCH($N$1,$C$113:$C$114,0)-1,0)</f>
        <v>11.9710745602403</v>
      </c>
    </row>
    <row r="134" spans="1:15" ht="18" customHeight="1">
      <c r="A134" s="199"/>
      <c r="B134" s="37" t="s">
        <v>153</v>
      </c>
      <c r="C134" s="59">
        <f ca="1">19.4729414821941*OFFSET($L$113,MATCH($N$1,$C$113:$C$114,0)-1,0)</f>
        <v>19.472941482194098</v>
      </c>
      <c r="D134" s="59">
        <f ca="1">7.34777863524561*OFFSET($L$113,MATCH($N$1,$C$113:$C$114,0)-1,0)</f>
        <v>7.3477786352456098</v>
      </c>
      <c r="E134" s="59">
        <f ca="1">3.62120953575655*OFFSET($L$113,MATCH($N$1,$C$113:$C$114,0)-1,0)</f>
        <v>3.6212095357565501</v>
      </c>
      <c r="F134" s="60">
        <f ca="1">7.18446561072873*OFFSET($L$113,MATCH($N$1,$C$113:$C$114,0)-1,0)</f>
        <v>7.1844656107287301</v>
      </c>
    </row>
    <row r="135" spans="1:15" ht="18" customHeight="1">
      <c r="A135" s="200"/>
      <c r="B135" s="39" t="s">
        <v>154</v>
      </c>
      <c r="C135" s="64">
        <f ca="1">15.3755013523601*OFFSET($L$113,MATCH($N$1,$C$113:$C$114,0)-1,0)</f>
        <v>15.3755013523601</v>
      </c>
      <c r="D135" s="64">
        <f ca="1">4.97104128724595*OFFSET($L$113,MATCH($N$1,$C$113:$C$114,0)-1,0)</f>
        <v>4.9710412872459502</v>
      </c>
      <c r="E135" s="64">
        <f ca="1">1.66709503110519*OFFSET($L$113,MATCH($N$1,$C$113:$C$114,0)-1,0)</f>
        <v>1.66709503110519</v>
      </c>
      <c r="F135" s="65">
        <f ca="1">4.78660894951157*OFFSET($L$113,MATCH($N$1,$C$113:$C$114,0)-1,0)</f>
        <v>4.78660894951157</v>
      </c>
    </row>
    <row r="136" spans="1:15" ht="18" customHeight="1">
      <c r="A136" s="201" t="s">
        <v>260</v>
      </c>
      <c r="B136" s="37" t="s">
        <v>261</v>
      </c>
      <c r="C136" s="66">
        <f ca="1">0.815819213867187*OFFSET($L$113,MATCH($N$1,$C$113:$C$114,0)-1,0)</f>
        <v>0.81581921386718703</v>
      </c>
      <c r="D136" s="66">
        <f ca="1">1.68583563232422*OFFSET($L$113,MATCH($N$1,$C$113:$C$114,0)-1,0)</f>
        <v>1.6858356323242201</v>
      </c>
      <c r="E136" s="66">
        <f ca="1">3.93715454101563*OFFSET($L$113,MATCH($N$1,$C$113:$C$114,0)-1,0)</f>
        <v>3.9371545410156301</v>
      </c>
      <c r="F136" s="67">
        <f ca="1">2.03116125488281*OFFSET($L$113,MATCH($N$1,$C$113:$C$114,0)-1,0)</f>
        <v>2.03116125488281</v>
      </c>
    </row>
    <row r="137" spans="1:15" ht="18" customHeight="1">
      <c r="A137" s="202"/>
      <c r="B137" s="37" t="s">
        <v>262</v>
      </c>
      <c r="C137" s="31">
        <v>1728.0702791945077</v>
      </c>
      <c r="D137" s="31">
        <v>3509.2982249084744</v>
      </c>
      <c r="E137" s="31">
        <v>8158.9475918958196</v>
      </c>
      <c r="F137" s="68">
        <v>4226.4035087719294</v>
      </c>
    </row>
    <row r="138" spans="1:15" ht="18" customHeight="1">
      <c r="A138" s="202"/>
      <c r="B138" s="37" t="s">
        <v>263</v>
      </c>
      <c r="C138" s="31">
        <v>38.764266967773438</v>
      </c>
      <c r="D138" s="31">
        <v>59.68372450850778</v>
      </c>
      <c r="E138" s="31">
        <v>138.53440856933594</v>
      </c>
      <c r="F138" s="68">
        <v>76.471710205078125</v>
      </c>
    </row>
    <row r="139" spans="1:15" ht="18" customHeight="1">
      <c r="A139" s="202"/>
      <c r="B139" s="37" t="s">
        <v>264</v>
      </c>
      <c r="C139" s="31">
        <f ca="1">18.3005484120285*OFFSET($L$113,MATCH($N$1,$C$113:$C$114,0)-1,0)</f>
        <v>18.300548412028501</v>
      </c>
      <c r="D139" s="31">
        <f ca="1">28.6715300318738*OFFSET($L$113,MATCH($N$1,$C$113:$C$114,0)-1,0)</f>
        <v>28.6715300318738</v>
      </c>
      <c r="E139" s="31">
        <f ca="1">66.8507022066725*OFFSET($L$113,MATCH($N$1,$C$113:$C$114,0)-1,0)</f>
        <v>66.850702206672494</v>
      </c>
      <c r="F139" s="68">
        <f ca="1">36.7514297812922*OFFSET($L$113,MATCH($N$1,$C$113:$C$114,0)-1,0)</f>
        <v>36.751429781292202</v>
      </c>
      <c r="I139" s="43"/>
      <c r="L139" s="69" t="str">
        <f>C120</f>
        <v>Most
profitable
quartile</v>
      </c>
      <c r="M139" s="69" t="str">
        <f>D120</f>
        <v>Middle
two quartiles</v>
      </c>
      <c r="N139" s="69" t="str">
        <f>E120</f>
        <v>Least
profitable
quartile</v>
      </c>
      <c r="O139" s="69"/>
    </row>
    <row r="140" spans="1:15" ht="18" customHeight="1">
      <c r="A140" s="202"/>
      <c r="B140" s="37" t="s">
        <v>265</v>
      </c>
      <c r="C140" s="31">
        <f ca="1">73.9021902801921*OFFSET($L$113,MATCH($N$1,$C$113:$C$114,0)-1,0)</f>
        <v>73.902190280192102</v>
      </c>
      <c r="D140" s="31">
        <f ca="1">175.327106407669*OFFSET($L$113,MATCH($N$1,$C$113:$C$114,0)-1,0)</f>
        <v>175.32710640766899</v>
      </c>
      <c r="E140" s="31">
        <f ca="1">451.036069397228*OFFSET($L$113,MATCH($N$1,$C$113:$C$114,0)-1,0)</f>
        <v>451.036069397228</v>
      </c>
      <c r="F140" s="68">
        <f ca="1">208.329264452843*OFFSET($L$113,MATCH($N$1,$C$113:$C$114,0)-1,0)</f>
        <v>208.32926445284301</v>
      </c>
      <c r="I140" s="43"/>
      <c r="K140" s="69" t="s">
        <v>266</v>
      </c>
      <c r="L140" s="70">
        <f t="shared" ref="L140:M142" ca="1" si="2">C141</f>
        <v>56.446949218749999</v>
      </c>
      <c r="M140" s="70">
        <f t="shared" ca="1" si="2"/>
        <v>40.329208007812497</v>
      </c>
      <c r="N140" s="70">
        <f ca="1">E141</f>
        <v>30.789939453125001</v>
      </c>
      <c r="O140" s="70"/>
    </row>
    <row r="141" spans="1:15" ht="18" customHeight="1">
      <c r="A141" s="179" t="s">
        <v>267</v>
      </c>
      <c r="B141" s="35" t="s">
        <v>268</v>
      </c>
      <c r="C141" s="71">
        <f ca="1">56.44694921875*OFFSET($L$113,MATCH($N$1,$C$113:$C$114,0)-1,0)</f>
        <v>56.446949218749999</v>
      </c>
      <c r="D141" s="71">
        <f ca="1">40.3292080078125*OFFSET($L$113,MATCH($N$1,$C$113:$C$114,0)-1,0)</f>
        <v>40.329208007812497</v>
      </c>
      <c r="E141" s="71">
        <f ca="1">30.789939453125*OFFSET($L$113,MATCH($N$1,$C$113:$C$114,0)-1,0)</f>
        <v>30.789939453125001</v>
      </c>
      <c r="F141" s="72">
        <f ca="1">41.973828125*OFFSET($L$113,MATCH($N$1,$C$113:$C$114,0)-1,0)</f>
        <v>41.973828124999997</v>
      </c>
      <c r="I141" s="43"/>
      <c r="K141" s="69" t="s">
        <v>269</v>
      </c>
      <c r="L141" s="70">
        <f t="shared" ca="1" si="2"/>
        <v>32.063562500000003</v>
      </c>
      <c r="M141" s="70">
        <f t="shared" ca="1" si="2"/>
        <v>24.235679687499999</v>
      </c>
      <c r="N141" s="70">
        <f ca="1">E142</f>
        <v>21.177703125000001</v>
      </c>
      <c r="O141" s="70"/>
    </row>
    <row r="142" spans="1:15" ht="18" customHeight="1">
      <c r="A142" s="180"/>
      <c r="B142" s="37" t="s">
        <v>270</v>
      </c>
      <c r="C142" s="31">
        <f ca="1">32.0635625*OFFSET($L$113,MATCH($N$1,$C$113:$C$114,0)-1,0)</f>
        <v>32.063562500000003</v>
      </c>
      <c r="D142" s="31">
        <f ca="1">24.2356796875*OFFSET($L$113,MATCH($N$1,$C$113:$C$114,0)-1,0)</f>
        <v>24.235679687499999</v>
      </c>
      <c r="E142" s="31">
        <f ca="1">21.177703125*OFFSET($L$113,MATCH($N$1,$C$113:$C$114,0)-1,0)</f>
        <v>21.177703125000001</v>
      </c>
      <c r="F142" s="68">
        <f ca="1">25.42815625*OFFSET($L$113,MATCH($N$1,$C$113:$C$114,0)-1,0)</f>
        <v>25.428156250000001</v>
      </c>
      <c r="I142" s="43"/>
      <c r="K142" s="69" t="s">
        <v>271</v>
      </c>
      <c r="L142" s="70">
        <f t="shared" ca="1" si="2"/>
        <v>24.38338671875</v>
      </c>
      <c r="M142" s="70">
        <f t="shared" ca="1" si="2"/>
        <v>16.093528320312501</v>
      </c>
      <c r="N142" s="70">
        <f ca="1">E143</f>
        <v>9.6122363281250003</v>
      </c>
      <c r="O142" s="70"/>
    </row>
    <row r="143" spans="1:15" ht="18" customHeight="1">
      <c r="A143" s="181"/>
      <c r="B143" s="39" t="s">
        <v>272</v>
      </c>
      <c r="C143" s="40">
        <f ca="1">24.38338671875*OFFSET($L$113,MATCH($N$1,$C$113:$C$114,0)-1,0)</f>
        <v>24.38338671875</v>
      </c>
      <c r="D143" s="40">
        <f ca="1">16.0935283203125*OFFSET($L$113,MATCH($N$1,$C$113:$C$114,0)-1,0)</f>
        <v>16.093528320312501</v>
      </c>
      <c r="E143" s="40">
        <f ca="1">9.612236328125*OFFSET($L$113,MATCH($N$1,$C$113:$C$114,0)-1,0)</f>
        <v>9.6122363281250003</v>
      </c>
      <c r="F143" s="61">
        <f ca="1">16.545669921875*OFFSET($L$113,MATCH($N$1,$C$113:$C$114,0)-1,0)</f>
        <v>16.545669921875</v>
      </c>
      <c r="I143" s="43"/>
      <c r="K143" s="69" t="s">
        <v>273</v>
      </c>
      <c r="L143" s="73">
        <f ca="1">IFERROR(L141/L$140,"")</f>
        <v>0.56803003428481902</v>
      </c>
      <c r="M143" s="73">
        <f t="shared" ref="M143:N144" ca="1" si="3">IFERROR(M141/M$140,"")</f>
        <v>0.6009460855964518</v>
      </c>
      <c r="N143" s="73">
        <f t="shared" ca="1" si="3"/>
        <v>0.68781243163018257</v>
      </c>
      <c r="O143" s="73"/>
    </row>
    <row r="144" spans="1:15" ht="18" customHeight="1">
      <c r="I144" s="43"/>
      <c r="K144" s="69" t="s">
        <v>274</v>
      </c>
      <c r="L144" s="73">
        <f ca="1">IFERROR(L142/L$140,"")</f>
        <v>0.43196996571518098</v>
      </c>
      <c r="M144" s="73">
        <f t="shared" ca="1" si="3"/>
        <v>0.39905391440354826</v>
      </c>
      <c r="N144" s="73">
        <f t="shared" ca="1" si="3"/>
        <v>0.31218756836981743</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8</v>
      </c>
      <c r="B162" s="48"/>
      <c r="C162" s="74" t="s">
        <v>255</v>
      </c>
      <c r="D162" s="74" t="s">
        <v>276</v>
      </c>
      <c r="E162" s="74" t="s">
        <v>257</v>
      </c>
      <c r="F162" s="74" t="s">
        <v>277</v>
      </c>
      <c r="G162" s="75">
        <v>8</v>
      </c>
      <c r="H162" s="74"/>
      <c r="I162" s="74" t="s">
        <v>255</v>
      </c>
      <c r="J162" s="74" t="s">
        <v>276</v>
      </c>
      <c r="K162" s="74" t="s">
        <v>257</v>
      </c>
      <c r="L162" s="48" t="s">
        <v>277</v>
      </c>
      <c r="R162" s="21"/>
      <c r="S162" s="21"/>
    </row>
    <row r="163" spans="1:19" s="43" customFormat="1">
      <c r="A163" s="44">
        <v>1</v>
      </c>
      <c r="B163" s="48" t="s">
        <v>123</v>
      </c>
      <c r="C163" s="48">
        <v>0.39995344518710341</v>
      </c>
      <c r="D163" s="48">
        <v>0.42968695931592898</v>
      </c>
      <c r="E163" s="48">
        <v>0.3889374793494802</v>
      </c>
      <c r="F163" s="44">
        <v>3050596</v>
      </c>
      <c r="G163" s="44">
        <v>1</v>
      </c>
      <c r="H163" s="48" t="s">
        <v>182</v>
      </c>
      <c r="I163" s="48">
        <v>0.52867082038337576</v>
      </c>
      <c r="J163" s="48">
        <v>0.28654857603420619</v>
      </c>
      <c r="K163" s="48">
        <v>0</v>
      </c>
      <c r="L163" s="44">
        <v>553960</v>
      </c>
      <c r="R163" s="21"/>
      <c r="S163" s="21"/>
    </row>
    <row r="164" spans="1:19" s="43" customFormat="1">
      <c r="A164" s="44">
        <v>2</v>
      </c>
      <c r="B164" s="48" t="s">
        <v>176</v>
      </c>
      <c r="C164" s="48">
        <v>3.4593547601871812E-2</v>
      </c>
      <c r="D164" s="48">
        <v>0.18388642650776738</v>
      </c>
      <c r="E164" s="48">
        <v>0.20277022564121877</v>
      </c>
      <c r="F164" s="44">
        <v>1692097</v>
      </c>
      <c r="G164" s="44">
        <v>2</v>
      </c>
      <c r="H164" s="48" t="s">
        <v>177</v>
      </c>
      <c r="I164" s="48">
        <v>0.25907205257019039</v>
      </c>
      <c r="J164" s="48">
        <v>0.28648528309862609</v>
      </c>
      <c r="K164" s="48">
        <v>0.51664847039865891</v>
      </c>
      <c r="L164" s="44">
        <v>12153634</v>
      </c>
      <c r="N164" s="43" t="s">
        <v>278</v>
      </c>
      <c r="R164" s="21"/>
      <c r="S164" s="21"/>
    </row>
    <row r="165" spans="1:19" s="43" customFormat="1">
      <c r="A165" s="44">
        <v>3</v>
      </c>
      <c r="B165" s="48" t="s">
        <v>182</v>
      </c>
      <c r="C165" s="48">
        <v>0.3007097778104989</v>
      </c>
      <c r="D165" s="48">
        <v>0.15091547327201826</v>
      </c>
      <c r="E165" s="48">
        <v>0</v>
      </c>
      <c r="F165" s="44">
        <v>553960</v>
      </c>
      <c r="G165" s="44">
        <v>3</v>
      </c>
      <c r="H165" s="48" t="s">
        <v>123</v>
      </c>
      <c r="I165" s="48">
        <v>0.10930152380324877</v>
      </c>
      <c r="J165" s="48">
        <v>0.16173343369064808</v>
      </c>
      <c r="K165" s="48">
        <v>0.16555830042699821</v>
      </c>
      <c r="L165" s="44">
        <v>3050596</v>
      </c>
      <c r="N165" s="43" t="s">
        <v>279</v>
      </c>
      <c r="R165" s="21"/>
      <c r="S165" s="21"/>
    </row>
    <row r="166" spans="1:19" s="43" customFormat="1">
      <c r="A166" s="44">
        <v>4</v>
      </c>
      <c r="B166" s="48" t="s">
        <v>177</v>
      </c>
      <c r="C166" s="48">
        <v>0.11838429627931064</v>
      </c>
      <c r="D166" s="48">
        <v>0.10588098844509193</v>
      </c>
      <c r="E166" s="48">
        <v>0.16284646489167826</v>
      </c>
      <c r="F166" s="44">
        <v>12153634</v>
      </c>
      <c r="G166" s="44">
        <v>4</v>
      </c>
      <c r="H166" s="48" t="s">
        <v>176</v>
      </c>
      <c r="I166" s="48">
        <v>1.5315402533263998E-2</v>
      </c>
      <c r="J166" s="48">
        <v>0.15543782786411064</v>
      </c>
      <c r="K166" s="48">
        <v>9.6498748935716722E-2</v>
      </c>
      <c r="L166" s="44">
        <v>1692097</v>
      </c>
      <c r="R166" s="21"/>
      <c r="S166" s="21"/>
    </row>
    <row r="167" spans="1:19" s="43" customFormat="1">
      <c r="A167" s="44">
        <v>5</v>
      </c>
      <c r="B167" s="48" t="s">
        <v>248</v>
      </c>
      <c r="C167" s="48">
        <v>0</v>
      </c>
      <c r="D167" s="48">
        <v>5.7924691536194561E-2</v>
      </c>
      <c r="E167" s="48">
        <v>9.0670946927420393E-2</v>
      </c>
      <c r="F167" s="44">
        <v>3689192</v>
      </c>
      <c r="G167" s="44">
        <v>5</v>
      </c>
      <c r="H167" s="48" t="s">
        <v>248</v>
      </c>
      <c r="I167" s="48">
        <v>0</v>
      </c>
      <c r="J167" s="48">
        <v>4.9768138907209408E-2</v>
      </c>
      <c r="K167" s="48">
        <v>9.6469026475097572E-2</v>
      </c>
      <c r="L167" s="44">
        <v>3689192</v>
      </c>
      <c r="R167" s="21"/>
      <c r="S167" s="21"/>
    </row>
    <row r="168" spans="1:19" s="43" customFormat="1">
      <c r="A168" s="44">
        <v>6</v>
      </c>
      <c r="B168" s="48" t="s">
        <v>168</v>
      </c>
      <c r="C168" s="48">
        <v>8.3013290213265561E-2</v>
      </c>
      <c r="D168" s="48">
        <v>0</v>
      </c>
      <c r="E168" s="48">
        <v>5.5398467554326467E-2</v>
      </c>
      <c r="F168" s="44">
        <v>11115023</v>
      </c>
      <c r="G168" s="44">
        <v>6</v>
      </c>
      <c r="H168" s="48" t="s">
        <v>168</v>
      </c>
      <c r="I168" s="48">
        <v>5.242069163094612E-2</v>
      </c>
      <c r="J168" s="48">
        <v>0</v>
      </c>
      <c r="K168" s="48">
        <v>5.0224368676418961E-2</v>
      </c>
      <c r="L168" s="44">
        <v>11115023</v>
      </c>
      <c r="R168" s="21"/>
      <c r="S168" s="21"/>
    </row>
    <row r="169" spans="1:19" s="43" customFormat="1">
      <c r="A169" s="44">
        <v>7</v>
      </c>
      <c r="B169" s="48" t="s">
        <v>251</v>
      </c>
      <c r="C169" s="48">
        <v>6.334564290794964E-2</v>
      </c>
      <c r="D169" s="48">
        <v>7.1705460922998787E-2</v>
      </c>
      <c r="E169" s="48">
        <v>9.9376415635875959E-2</v>
      </c>
      <c r="F169" s="44">
        <v>5920853</v>
      </c>
      <c r="G169" s="44">
        <v>7</v>
      </c>
      <c r="H169" s="48" t="s">
        <v>251</v>
      </c>
      <c r="I169" s="48">
        <v>3.5219509078974975E-2</v>
      </c>
      <c r="J169" s="48">
        <v>6.0026740405199508E-2</v>
      </c>
      <c r="K169" s="48">
        <v>7.4601085087109498E-2</v>
      </c>
      <c r="L169" s="44">
        <v>5920853</v>
      </c>
      <c r="R169" s="21"/>
      <c r="S169" s="21"/>
    </row>
    <row r="170" spans="1:19" s="43" customFormat="1">
      <c r="A170" s="44">
        <v>8</v>
      </c>
      <c r="B170" s="48"/>
      <c r="C170" s="48">
        <v>0</v>
      </c>
      <c r="D170" s="48">
        <v>0</v>
      </c>
      <c r="E170" s="48">
        <v>0</v>
      </c>
      <c r="F170" s="44"/>
      <c r="G170" s="44">
        <v>8</v>
      </c>
      <c r="H170" s="48"/>
      <c r="I170" s="48">
        <v>0</v>
      </c>
      <c r="J170" s="48">
        <v>0</v>
      </c>
      <c r="K170" s="48">
        <v>0</v>
      </c>
      <c r="L170" s="44"/>
      <c r="R170" s="21"/>
      <c r="S170" s="21"/>
    </row>
    <row r="171" spans="1:19" s="43" customFormat="1">
      <c r="A171" s="44">
        <v>9</v>
      </c>
      <c r="B171" s="48"/>
      <c r="C171" s="48">
        <v>0</v>
      </c>
      <c r="D171" s="48">
        <v>0</v>
      </c>
      <c r="E171" s="48">
        <v>0</v>
      </c>
      <c r="F171" s="44"/>
      <c r="G171" s="44">
        <v>9</v>
      </c>
      <c r="H171" s="48"/>
      <c r="I171" s="48">
        <v>0</v>
      </c>
      <c r="J171" s="48">
        <v>0</v>
      </c>
      <c r="K171" s="48">
        <v>0</v>
      </c>
      <c r="L171" s="44"/>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A93D6C82-4FB1-401B-BE60-C389CB0A468E}">
      <formula1>$C$113:$C$114</formula1>
    </dataValidation>
  </dataValidations>
  <hyperlinks>
    <hyperlink ref="O1:P1" location="Home_page" display="Back to home page" xr:uid="{F16B5950-2A1A-4475-B128-6147DC81EF5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274A4D36-1158-465F-9EDB-C9BD5E5C633A}">
          <x14:colorSeries rgb="FF323232"/>
          <x14:colorNegative rgb="FFD00000"/>
          <x14:colorAxis rgb="FF000000"/>
          <x14:colorMarkers rgb="FFD00000"/>
          <x14:colorFirst rgb="FFD00000"/>
          <x14:colorLast rgb="FFD00000"/>
          <x14:colorHigh rgb="FFD00000"/>
          <x14:colorLow rgb="FFD00000"/>
          <x14:sparklines>
            <x14:sparkline>
              <xm:f>'U10m using hooks'!D3:N3</xm:f>
              <xm:sqref>C3</xm:sqref>
            </x14:sparkline>
            <x14:sparkline>
              <xm:f>'U10m using hooks'!D4:N4</xm:f>
              <xm:sqref>C4</xm:sqref>
            </x14:sparkline>
            <x14:sparkline>
              <xm:f>'U10m using hooks'!D5:N5</xm:f>
              <xm:sqref>C5</xm:sqref>
            </x14:sparkline>
            <x14:sparkline>
              <xm:f>'U10m using hooks'!D6:N6</xm:f>
              <xm:sqref>C6</xm:sqref>
            </x14:sparkline>
            <x14:sparkline>
              <xm:f>'U10m using hooks'!D7:N7</xm:f>
              <xm:sqref>C7</xm:sqref>
            </x14:sparkline>
            <x14:sparkline>
              <xm:f>'U10m using hooks'!D8:N8</xm:f>
              <xm:sqref>C8</xm:sqref>
            </x14:sparkline>
            <x14:sparkline>
              <xm:f>'U10m using hooks'!D9:N9</xm:f>
              <xm:sqref>C9</xm:sqref>
            </x14:sparkline>
            <x14:sparkline>
              <xm:f>'U10m using hooks'!D10:N10</xm:f>
              <xm:sqref>C10</xm:sqref>
            </x14:sparkline>
            <x14:sparkline>
              <xm:f>'U10m using hooks'!D11:N11</xm:f>
              <xm:sqref>C11</xm:sqref>
            </x14:sparkline>
            <x14:sparkline>
              <xm:f>'U10m using hooks'!D12:N12</xm:f>
              <xm:sqref>C12</xm:sqref>
            </x14:sparkline>
            <x14:sparkline>
              <xm:f>'U10m using hooks'!D13:N13</xm:f>
              <xm:sqref>C13</xm:sqref>
            </x14:sparkline>
            <x14:sparkline>
              <xm:f>'U10m using hooks'!D14:N14</xm:f>
              <xm:sqref>C14</xm:sqref>
            </x14:sparkline>
            <x14:sparkline>
              <xm:f>'U10m using hooks'!D15:N15</xm:f>
              <xm:sqref>C15</xm:sqref>
            </x14:sparkline>
            <x14:sparkline>
              <xm:f>'U10m using hooks'!D16:N16</xm:f>
              <xm:sqref>C16</xm:sqref>
            </x14:sparkline>
            <x14:sparkline>
              <xm:f>'U10m using hooks'!D17:N17</xm:f>
              <xm:sqref>C17</xm:sqref>
            </x14:sparkline>
            <x14:sparkline>
              <xm:f>'U10m using hooks'!D18:N18</xm:f>
              <xm:sqref>C18</xm:sqref>
            </x14:sparkline>
            <x14:sparkline>
              <xm:f>'U10m using hooks'!D19:N19</xm:f>
              <xm:sqref>C19</xm:sqref>
            </x14:sparkline>
            <x14:sparkline>
              <xm:f>'U10m using hooks'!D20:N20</xm:f>
              <xm:sqref>C20</xm:sqref>
            </x14:sparkline>
            <x14:sparkline>
              <xm:f>'U10m using hooks'!D21:N21</xm:f>
              <xm:sqref>C21</xm:sqref>
            </x14:sparkline>
            <x14:sparkline>
              <xm:f>'U10m using hooks'!D22:N22</xm:f>
              <xm:sqref>C22</xm:sqref>
            </x14:sparkline>
            <x14:sparkline>
              <xm:f>'U10m using hooks'!D23:N23</xm:f>
              <xm:sqref>C23</xm:sqref>
            </x14:sparkline>
            <x14:sparkline>
              <xm:f>'U10m using hooks'!D24:N24</xm:f>
              <xm:sqref>C24</xm:sqref>
            </x14:sparkline>
            <x14:sparkline>
              <xm:f>'U10m using hooks'!D25:N25</xm:f>
              <xm:sqref>C25</xm:sqref>
            </x14:sparkline>
            <x14:sparkline>
              <xm:f>'U10m using hooks'!D26:N26</xm:f>
              <xm:sqref>C26</xm:sqref>
            </x14:sparkline>
            <x14:sparkline>
              <xm:f>'U10m using hooks'!D27:N27</xm:f>
              <xm:sqref>C27</xm:sqref>
            </x14:sparkline>
            <x14:sparkline>
              <xm:f>'U10m using hooks'!D28:N28</xm:f>
              <xm:sqref>C28</xm:sqref>
            </x14:sparkline>
            <x14:sparkline>
              <xm:f>'U10m using hooks'!D29:N29</xm:f>
              <xm:sqref>C29</xm:sqref>
            </x14:sparkline>
            <x14:sparkline>
              <xm:f>'U10m using hooks'!D30:N30</xm:f>
              <xm:sqref>C30</xm:sqref>
            </x14:sparkline>
            <x14:sparkline>
              <xm:f>'U10m using hooks'!D31:N31</xm:f>
              <xm:sqref>C31</xm:sqref>
            </x14:sparkline>
            <x14:sparkline>
              <xm:f>'U10m using hooks'!D32:N32</xm:f>
              <xm:sqref>C32</xm:sqref>
            </x14:sparkline>
            <x14:sparkline>
              <xm:f>'U10m using hooks'!D33:N33</xm:f>
              <xm:sqref>C33</xm:sqref>
            </x14:sparkline>
            <x14:sparkline>
              <xm:f>'U10m using hooks'!D34:N34</xm:f>
              <xm:sqref>C34</xm:sqref>
            </x14:sparkline>
            <x14:sparkline>
              <xm:f>'U10m using hooks'!D35:N35</xm:f>
              <xm:sqref>C35</xm:sqref>
            </x14:sparkline>
            <x14:sparkline>
              <xm:f>'U10m using hooks'!D36:N36</xm:f>
              <xm:sqref>C36</xm:sqref>
            </x14:sparkline>
            <x14:sparkline>
              <xm:f>'U10m using hooks'!D37:N37</xm:f>
              <xm:sqref>C37</xm:sqref>
            </x14:sparkline>
            <x14:sparkline>
              <xm:f>'U10m using hooks'!D38:N38</xm:f>
              <xm:sqref>C38</xm:sqref>
            </x14:sparkline>
            <x14:sparkline>
              <xm:f>'U10m using hooks'!D39:N39</xm:f>
              <xm:sqref>C39</xm:sqref>
            </x14:sparkline>
            <x14:sparkline>
              <xm:f>'U10m using hooks'!D40:N40</xm:f>
              <xm:sqref>C40</xm:sqref>
            </x14:sparkline>
            <x14:sparkline>
              <xm:f>'U10m using hooks'!D41:N41</xm:f>
              <xm:sqref>C41</xm:sqref>
            </x14:sparkline>
            <x14:sparkline>
              <xm:f>'U10m using hooks'!D42:N42</xm:f>
              <xm:sqref>C42</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63CBF-A8CF-4A1C-90DD-40C04177E533}">
  <sheetPr codeName="Feuil37">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38</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32</v>
      </c>
      <c r="E3" s="28">
        <v>37</v>
      </c>
      <c r="F3" s="28">
        <v>40</v>
      </c>
      <c r="G3" s="28">
        <v>41</v>
      </c>
      <c r="H3" s="28">
        <v>51</v>
      </c>
      <c r="I3" s="28">
        <v>43</v>
      </c>
      <c r="J3" s="28">
        <v>30</v>
      </c>
      <c r="K3" s="28">
        <v>25</v>
      </c>
      <c r="L3" s="28">
        <v>27</v>
      </c>
      <c r="M3" s="28">
        <v>29</v>
      </c>
      <c r="N3" s="28">
        <v>29</v>
      </c>
      <c r="O3" s="29">
        <f t="shared" ref="O3:O42" si="0">IF(N3=0,"",IFERROR(IF(AND(N3&gt;0,D3&lt;0),"na",IF(AND(N3&lt;0,D3&lt;0),-1,1)*(N3-D3)/D3),""))</f>
        <v>-9.375E-2</v>
      </c>
      <c r="P3" s="29">
        <f t="shared" ref="P3:P42" si="1">IF(N3=0,"",IFERROR(IF(AND(N3&gt;0,J3&lt;0),"na",IF(AND(N3&lt;0,J3&lt;0),-1,1)*(N3-J3)/J3),""))</f>
        <v>-3.3333333333333333E-2</v>
      </c>
    </row>
    <row r="4" spans="1:17" ht="18" customHeight="1">
      <c r="A4" s="185"/>
      <c r="B4" s="30" t="s">
        <v>190</v>
      </c>
      <c r="C4" s="31"/>
      <c r="D4" s="31">
        <v>10249</v>
      </c>
      <c r="E4" s="31">
        <v>11646</v>
      </c>
      <c r="F4" s="31">
        <v>12968</v>
      </c>
      <c r="G4" s="31">
        <v>13591</v>
      </c>
      <c r="H4" s="31">
        <v>17154</v>
      </c>
      <c r="I4" s="31">
        <v>14039</v>
      </c>
      <c r="J4" s="31">
        <v>9379</v>
      </c>
      <c r="K4" s="31">
        <v>7917</v>
      </c>
      <c r="L4" s="31">
        <v>8367</v>
      </c>
      <c r="M4" s="31">
        <v>9069</v>
      </c>
      <c r="N4" s="31">
        <v>9158</v>
      </c>
      <c r="O4" s="29">
        <f t="shared" si="0"/>
        <v>-0.10644940969850718</v>
      </c>
      <c r="P4" s="29">
        <f t="shared" si="1"/>
        <v>-2.3563279667341935E-2</v>
      </c>
    </row>
    <row r="5" spans="1:17" ht="18" customHeight="1">
      <c r="A5" s="185"/>
      <c r="B5" s="30" t="s">
        <v>191</v>
      </c>
      <c r="C5" s="31"/>
      <c r="D5" s="31">
        <v>3040</v>
      </c>
      <c r="E5" s="31">
        <v>3701</v>
      </c>
      <c r="F5" s="31">
        <v>4108</v>
      </c>
      <c r="G5" s="31">
        <v>4148</v>
      </c>
      <c r="H5" s="31">
        <v>5065</v>
      </c>
      <c r="I5" s="31">
        <v>4123</v>
      </c>
      <c r="J5" s="31">
        <v>2696</v>
      </c>
      <c r="K5" s="31">
        <v>2156</v>
      </c>
      <c r="L5" s="31">
        <v>2256</v>
      </c>
      <c r="M5" s="31">
        <v>2608</v>
      </c>
      <c r="N5" s="31">
        <v>2631</v>
      </c>
      <c r="O5" s="29">
        <f t="shared" si="0"/>
        <v>-0.13453947368421051</v>
      </c>
      <c r="P5" s="29">
        <f t="shared" si="1"/>
        <v>-2.4109792284866469E-2</v>
      </c>
      <c r="Q5" s="32"/>
    </row>
    <row r="6" spans="1:17" ht="18" customHeight="1">
      <c r="A6" s="185"/>
      <c r="B6" s="30" t="s">
        <v>192</v>
      </c>
      <c r="C6" s="31"/>
      <c r="D6" s="31">
        <v>8270.3076171875</v>
      </c>
      <c r="E6" s="31">
        <v>9500.9033203125</v>
      </c>
      <c r="F6" s="31">
        <v>10515.3408203125</v>
      </c>
      <c r="G6" s="31">
        <v>10742.0625</v>
      </c>
      <c r="H6" s="31">
        <v>13476.986328125</v>
      </c>
      <c r="I6" s="31">
        <v>11099.00390625</v>
      </c>
      <c r="J6" s="31">
        <v>7440.76318359375</v>
      </c>
      <c r="K6" s="31">
        <v>6204.09228515625</v>
      </c>
      <c r="L6" s="31">
        <v>6593.6572265625</v>
      </c>
      <c r="M6" s="31">
        <v>7154.69970703125</v>
      </c>
      <c r="N6" s="31">
        <v>7220.78515625</v>
      </c>
      <c r="O6" s="29">
        <f t="shared" si="0"/>
        <v>-0.12690246959573351</v>
      </c>
      <c r="P6" s="29">
        <f t="shared" si="1"/>
        <v>-2.9563906539692441E-2</v>
      </c>
    </row>
    <row r="7" spans="1:17" ht="18" customHeight="1">
      <c r="A7" s="185"/>
      <c r="B7" s="30" t="s">
        <v>193</v>
      </c>
      <c r="C7" s="31"/>
      <c r="D7" s="31">
        <v>5670.25732421875</v>
      </c>
      <c r="E7" s="31">
        <v>5625.6298828125</v>
      </c>
      <c r="F7" s="31">
        <v>6562.93017578125</v>
      </c>
      <c r="G7" s="31">
        <v>5542.46044921875</v>
      </c>
      <c r="H7" s="31">
        <v>8657.26953125</v>
      </c>
      <c r="I7" s="31">
        <v>6181.9267578125</v>
      </c>
      <c r="J7" s="31">
        <v>3020.4375</v>
      </c>
      <c r="K7" s="31">
        <v>3612.26513671875</v>
      </c>
      <c r="L7" s="31">
        <v>2671.04248046875</v>
      </c>
      <c r="M7" s="31">
        <v>3486.7392578125</v>
      </c>
      <c r="N7" s="31">
        <v>3253.6318359375</v>
      </c>
      <c r="O7" s="29">
        <f t="shared" si="0"/>
        <v>-0.42619326603739516</v>
      </c>
      <c r="P7" s="29">
        <f t="shared" si="1"/>
        <v>7.7205482959836119E-2</v>
      </c>
    </row>
    <row r="8" spans="1:17" ht="18" customHeight="1">
      <c r="A8" s="185"/>
      <c r="B8" s="30" t="s">
        <v>194</v>
      </c>
      <c r="C8" s="33"/>
      <c r="D8" s="33">
        <f ca="1">14.784915*OFFSET(D$113,MATCH($N$1,$C$113:$C$114,0)-1,0)</f>
        <v>14.784915</v>
      </c>
      <c r="E8" s="33">
        <f ca="1">14.81741*OFFSET(E$113,MATCH($N$1,$C$113:$C$114,0)-1,0)</f>
        <v>14.817410000000001</v>
      </c>
      <c r="F8" s="33">
        <f ca="1">16.819948*OFFSET(F$113,MATCH($N$1,$C$113:$C$114,0)-1,0)</f>
        <v>16.819948</v>
      </c>
      <c r="G8" s="33">
        <f ca="1">15.262831*OFFSET(G$113,MATCH($N$1,$C$113:$C$114,0)-1,0)</f>
        <v>15.262831</v>
      </c>
      <c r="H8" s="33">
        <f ca="1">21.729702*OFFSET(H$113,MATCH($N$1,$C$113:$C$114,0)-1,0)</f>
        <v>21.729702</v>
      </c>
      <c r="I8" s="33">
        <f ca="1">16.047736*OFFSET(I$113,MATCH($N$1,$C$113:$C$114,0)-1,0)</f>
        <v>16.047736</v>
      </c>
      <c r="J8" s="33">
        <f ca="1">10.004632*OFFSET(J$113,MATCH($N$1,$C$113:$C$114,0)-1,0)</f>
        <v>10.004632000000001</v>
      </c>
      <c r="K8" s="33">
        <f ca="1">10.917979*OFFSET(K$113,MATCH($N$1,$C$113:$C$114,0)-1,0)</f>
        <v>10.917979000000001</v>
      </c>
      <c r="L8" s="33">
        <f ca="1">5.5499095*OFFSET(L$113,MATCH($N$1,$C$113:$C$114,0)-1,0)</f>
        <v>5.5499095000000001</v>
      </c>
      <c r="M8" s="33">
        <f ca="1">7.905574*OFFSET(M$113,MATCH($N$1,$C$113:$C$114,0)-1,0)</f>
        <v>7.9055739999999997</v>
      </c>
      <c r="N8" s="33">
        <v>10.002167999999999</v>
      </c>
      <c r="O8" s="29">
        <f t="shared" ca="1" si="0"/>
        <v>-0.3234882987152784</v>
      </c>
      <c r="P8" s="29">
        <f t="shared" ca="1" si="1"/>
        <v>-2.4628592036184598E-4</v>
      </c>
    </row>
    <row r="9" spans="1:17" ht="18" customHeight="1">
      <c r="A9" s="185"/>
      <c r="B9" s="30" t="s">
        <v>195</v>
      </c>
      <c r="C9" s="31"/>
      <c r="D9" s="31">
        <v>5818</v>
      </c>
      <c r="E9" s="31">
        <v>6906</v>
      </c>
      <c r="F9" s="31">
        <v>7637</v>
      </c>
      <c r="G9" s="31">
        <v>7159</v>
      </c>
      <c r="H9" s="31">
        <v>9431</v>
      </c>
      <c r="I9" s="31">
        <v>7661</v>
      </c>
      <c r="J9" s="31">
        <v>5256</v>
      </c>
      <c r="K9" s="31">
        <v>4438</v>
      </c>
      <c r="L9" s="31">
        <v>3821</v>
      </c>
      <c r="M9" s="31">
        <v>4603</v>
      </c>
      <c r="N9" s="31">
        <v>4544</v>
      </c>
      <c r="O9" s="29">
        <f t="shared" si="0"/>
        <v>-0.21897559298728086</v>
      </c>
      <c r="P9" s="29">
        <f t="shared" si="1"/>
        <v>-0.13546423135464231</v>
      </c>
    </row>
    <row r="10" spans="1:17" ht="18" customHeight="1">
      <c r="A10" s="185"/>
      <c r="B10" s="30" t="s">
        <v>196</v>
      </c>
      <c r="C10" s="31"/>
      <c r="D10" s="31">
        <v>4525.4000000000005</v>
      </c>
      <c r="E10" s="31">
        <v>5387.2</v>
      </c>
      <c r="F10" s="31">
        <v>5985.4000000000005</v>
      </c>
      <c r="G10" s="31">
        <v>5609.6</v>
      </c>
      <c r="H10" s="31">
        <v>7367.8</v>
      </c>
      <c r="I10" s="31">
        <v>5972</v>
      </c>
      <c r="J10" s="31">
        <v>4086</v>
      </c>
      <c r="K10" s="31">
        <v>3408</v>
      </c>
      <c r="L10" s="31">
        <v>2978.4</v>
      </c>
      <c r="M10" s="31">
        <v>3597.6</v>
      </c>
      <c r="N10" s="31">
        <v>3540.8</v>
      </c>
      <c r="O10" s="29">
        <f t="shared" si="0"/>
        <v>-0.2175719273434393</v>
      </c>
      <c r="P10" s="29">
        <f t="shared" si="1"/>
        <v>-0.13343122858541356</v>
      </c>
    </row>
    <row r="11" spans="1:17" ht="18" customHeight="1">
      <c r="A11" s="185"/>
      <c r="B11" s="30" t="s">
        <v>197</v>
      </c>
      <c r="C11" s="31"/>
      <c r="D11" s="31">
        <v>191.55804443359375</v>
      </c>
      <c r="E11" s="31">
        <v>213.2569580078125</v>
      </c>
      <c r="F11" s="31">
        <v>203.76249694824219</v>
      </c>
      <c r="G11" s="31">
        <v>310.1126708984375</v>
      </c>
      <c r="H11" s="31">
        <v>314.16751098632813</v>
      </c>
      <c r="I11" s="31">
        <v>241.89292907714844</v>
      </c>
      <c r="J11" s="31">
        <v>181.98045349121094</v>
      </c>
      <c r="K11" s="31">
        <v>163.09375</v>
      </c>
      <c r="L11" s="31">
        <v>114.50952911376953</v>
      </c>
      <c r="M11" s="31">
        <v>154.98666381835938</v>
      </c>
      <c r="N11" s="31">
        <v>153.853271484375</v>
      </c>
      <c r="O11" s="34">
        <f t="shared" si="0"/>
        <v>-0.19683210413170424</v>
      </c>
      <c r="P11" s="34">
        <f t="shared" si="1"/>
        <v>-0.1545615557452954</v>
      </c>
    </row>
    <row r="12" spans="1:17" ht="18" customHeight="1">
      <c r="A12" s="186" t="s">
        <v>198</v>
      </c>
      <c r="B12" s="35" t="s">
        <v>199</v>
      </c>
      <c r="C12" s="36"/>
      <c r="D12" s="36">
        <v>18.539688110351563</v>
      </c>
      <c r="E12" s="36">
        <v>18.221622467041016</v>
      </c>
      <c r="F12" s="36">
        <v>18.362749099731445</v>
      </c>
      <c r="G12" s="36">
        <v>18.181951522827148</v>
      </c>
      <c r="H12" s="36">
        <v>18.203332901000977</v>
      </c>
      <c r="I12" s="36">
        <v>18.056047439575195</v>
      </c>
      <c r="J12" s="36">
        <v>17.590000152587891</v>
      </c>
      <c r="K12" s="36">
        <v>17.521999359130859</v>
      </c>
      <c r="L12" s="36">
        <v>17.590370178222656</v>
      </c>
      <c r="M12" s="36">
        <v>17.549655914306641</v>
      </c>
      <c r="N12" s="36">
        <v>17.585861206054688</v>
      </c>
      <c r="O12" s="29">
        <f t="shared" si="0"/>
        <v>-5.1447839824463361E-2</v>
      </c>
      <c r="P12" s="29">
        <f t="shared" si="1"/>
        <v>-2.3530110843087126E-4</v>
      </c>
    </row>
    <row r="13" spans="1:17" ht="18" customHeight="1">
      <c r="A13" s="187"/>
      <c r="B13" s="37" t="s">
        <v>190</v>
      </c>
      <c r="C13" s="31"/>
      <c r="D13" s="31">
        <v>320.28125</v>
      </c>
      <c r="E13" s="31">
        <v>314.75674438476563</v>
      </c>
      <c r="F13" s="31">
        <v>324.20001220703125</v>
      </c>
      <c r="G13" s="31">
        <v>331.48779296875</v>
      </c>
      <c r="H13" s="31">
        <v>336.35293579101563</v>
      </c>
      <c r="I13" s="31">
        <v>326.48837280273438</v>
      </c>
      <c r="J13" s="31">
        <v>312.63333129882813</v>
      </c>
      <c r="K13" s="31">
        <v>316.67999267578125</v>
      </c>
      <c r="L13" s="31">
        <v>309.88888549804688</v>
      </c>
      <c r="M13" s="31">
        <v>312.72415161132813</v>
      </c>
      <c r="N13" s="31">
        <v>315.7930908203125</v>
      </c>
      <c r="O13" s="29">
        <f t="shared" si="0"/>
        <v>-1.4013181164016002E-2</v>
      </c>
      <c r="P13" s="29">
        <f t="shared" si="1"/>
        <v>1.0106918249430491E-2</v>
      </c>
    </row>
    <row r="14" spans="1:17" ht="18" customHeight="1">
      <c r="A14" s="187"/>
      <c r="B14" s="37" t="s">
        <v>191</v>
      </c>
      <c r="C14" s="31"/>
      <c r="D14" s="31">
        <v>95</v>
      </c>
      <c r="E14" s="31">
        <v>100.02702331542969</v>
      </c>
      <c r="F14" s="31">
        <v>102.69999694824219</v>
      </c>
      <c r="G14" s="31">
        <v>101.17073059082031</v>
      </c>
      <c r="H14" s="31">
        <v>99.313728332519531</v>
      </c>
      <c r="I14" s="31">
        <v>95.883720397949219</v>
      </c>
      <c r="J14" s="31">
        <v>89.866668701171875</v>
      </c>
      <c r="K14" s="31">
        <v>86.239997863769531</v>
      </c>
      <c r="L14" s="31">
        <v>83.555557250976563</v>
      </c>
      <c r="M14" s="31">
        <v>89.931037902832031</v>
      </c>
      <c r="N14" s="31">
        <v>90.724136352539063</v>
      </c>
      <c r="O14" s="29">
        <f t="shared" si="0"/>
        <v>-4.5009091025904606E-2</v>
      </c>
      <c r="P14" s="29">
        <f t="shared" si="1"/>
        <v>9.5415537680435467E-3</v>
      </c>
    </row>
    <row r="15" spans="1:17" ht="18" customHeight="1">
      <c r="A15" s="187"/>
      <c r="B15" s="37" t="s">
        <v>192</v>
      </c>
      <c r="C15" s="31"/>
      <c r="D15" s="31">
        <v>258.44711303710938</v>
      </c>
      <c r="E15" s="31">
        <v>256.78115844726563</v>
      </c>
      <c r="F15" s="31">
        <v>262.88351440429688</v>
      </c>
      <c r="G15" s="31">
        <v>262.00152587890625</v>
      </c>
      <c r="H15" s="31">
        <v>264.254638671875</v>
      </c>
      <c r="I15" s="31">
        <v>258.11639404296875</v>
      </c>
      <c r="J15" s="31">
        <v>248.02545166015625</v>
      </c>
      <c r="K15" s="31">
        <v>248.1636962890625</v>
      </c>
      <c r="L15" s="31">
        <v>244.20951843261719</v>
      </c>
      <c r="M15" s="31">
        <v>246.71377563476563</v>
      </c>
      <c r="N15" s="31">
        <v>248.99258422851563</v>
      </c>
      <c r="O15" s="29">
        <f t="shared" si="0"/>
        <v>-3.6582063918184346E-2</v>
      </c>
      <c r="P15" s="29">
        <f t="shared" si="1"/>
        <v>3.8993279193158662E-3</v>
      </c>
    </row>
    <row r="16" spans="1:17" ht="18" customHeight="1">
      <c r="A16" s="187"/>
      <c r="B16" s="37" t="s">
        <v>193</v>
      </c>
      <c r="C16" s="33"/>
      <c r="D16" s="33">
        <v>177.19554138183594</v>
      </c>
      <c r="E16" s="33">
        <v>152.04405212402344</v>
      </c>
      <c r="F16" s="33">
        <v>164.07325744628906</v>
      </c>
      <c r="G16" s="33">
        <v>135.18196105957031</v>
      </c>
      <c r="H16" s="33">
        <v>169.75038146972656</v>
      </c>
      <c r="I16" s="33">
        <v>143.76573181152344</v>
      </c>
      <c r="J16" s="33">
        <v>100.68124389648438</v>
      </c>
      <c r="K16" s="33">
        <v>144.4906005859375</v>
      </c>
      <c r="L16" s="33">
        <v>98.927497863769531</v>
      </c>
      <c r="M16" s="33">
        <v>120.23238372802734</v>
      </c>
      <c r="N16" s="33">
        <v>112.19420623779297</v>
      </c>
      <c r="O16" s="29">
        <f t="shared" si="0"/>
        <v>-0.36683392052158126</v>
      </c>
      <c r="P16" s="29">
        <f t="shared" si="1"/>
        <v>0.11435061681543852</v>
      </c>
    </row>
    <row r="17" spans="1:16" ht="18" customHeight="1">
      <c r="A17" s="187"/>
      <c r="B17" s="37" t="s">
        <v>200</v>
      </c>
      <c r="C17" s="33"/>
      <c r="D17" s="33">
        <f ca="1">462.02859375*OFFSET(D$113,MATCH($N$1,$C$113:$C$114,0)-1,0)</f>
        <v>462.02859375000003</v>
      </c>
      <c r="E17" s="33">
        <f ca="1">400.47053125*OFFSET(E$113,MATCH($N$1,$C$113:$C$114,0)-1,0)</f>
        <v>400.47053125000002</v>
      </c>
      <c r="F17" s="33">
        <f ca="1">420.4986875*OFFSET(F$113,MATCH($N$1,$C$113:$C$114,0)-1,0)</f>
        <v>420.49868750000002</v>
      </c>
      <c r="G17" s="33">
        <f ca="1">372.2641875*OFFSET(G$113,MATCH($N$1,$C$113:$C$114,0)-1,0)</f>
        <v>372.26418749999999</v>
      </c>
      <c r="H17" s="33">
        <f ca="1">426.0725625*OFFSET(H$113,MATCH($N$1,$C$113:$C$114,0)-1,0)</f>
        <v>426.0725625</v>
      </c>
      <c r="I17" s="33">
        <f ca="1">373.20315625*OFFSET(I$113,MATCH($N$1,$C$113:$C$114,0)-1,0)</f>
        <v>373.20315625000001</v>
      </c>
      <c r="J17" s="33">
        <f ca="1">333.48771875*OFFSET(J$113,MATCH($N$1,$C$113:$C$114,0)-1,0)</f>
        <v>333.48771875</v>
      </c>
      <c r="K17" s="33">
        <f ca="1">436.71915625*OFFSET(K$113,MATCH($N$1,$C$113:$C$114,0)-1,0)</f>
        <v>436.71915625000003</v>
      </c>
      <c r="L17" s="33">
        <f ca="1">205.552203125*OFFSET(L$113,MATCH($N$1,$C$113:$C$114,0)-1,0)</f>
        <v>205.55220312500001</v>
      </c>
      <c r="M17" s="33">
        <f ca="1">272.606*OFFSET(M$113,MATCH($N$1,$C$113:$C$114,0)-1,0)</f>
        <v>272.60599999999999</v>
      </c>
      <c r="N17" s="33">
        <v>344.90234375</v>
      </c>
      <c r="O17" s="29">
        <f t="shared" ca="1" si="0"/>
        <v>-0.25350433194915228</v>
      </c>
      <c r="P17" s="29">
        <f t="shared" ca="1" si="1"/>
        <v>3.4228022077649599E-2</v>
      </c>
    </row>
    <row r="18" spans="1:16" ht="18" customHeight="1">
      <c r="A18" s="187"/>
      <c r="B18" s="37" t="s">
        <v>195</v>
      </c>
      <c r="C18" s="31"/>
      <c r="D18" s="31">
        <v>181.8125</v>
      </c>
      <c r="E18" s="31">
        <v>186.64865112304688</v>
      </c>
      <c r="F18" s="31">
        <v>190.92500305175781</v>
      </c>
      <c r="G18" s="31">
        <v>174.60975646972656</v>
      </c>
      <c r="H18" s="31">
        <v>184.92156982421875</v>
      </c>
      <c r="I18" s="31">
        <v>178.16279602050781</v>
      </c>
      <c r="J18" s="31">
        <v>175.19999694824219</v>
      </c>
      <c r="K18" s="31">
        <v>177.52000427246094</v>
      </c>
      <c r="L18" s="31">
        <v>141.51852416992188</v>
      </c>
      <c r="M18" s="31">
        <v>158.72413635253906</v>
      </c>
      <c r="N18" s="31">
        <v>156.68965148925781</v>
      </c>
      <c r="O18" s="29">
        <f t="shared" si="0"/>
        <v>-0.13817998493361119</v>
      </c>
      <c r="P18" s="29">
        <f t="shared" si="1"/>
        <v>-0.10565265856969579</v>
      </c>
    </row>
    <row r="19" spans="1:16" ht="18" customHeight="1">
      <c r="A19" s="187"/>
      <c r="B19" s="37" t="s">
        <v>201</v>
      </c>
      <c r="C19" s="31"/>
      <c r="D19" s="31">
        <v>33.21875</v>
      </c>
      <c r="E19" s="31">
        <v>31.45945930480957</v>
      </c>
      <c r="F19" s="31">
        <v>31.100000381469727</v>
      </c>
      <c r="G19" s="31">
        <v>32.365852355957031</v>
      </c>
      <c r="H19" s="31">
        <v>32.215686798095703</v>
      </c>
      <c r="I19" s="31">
        <v>35.162792205810547</v>
      </c>
      <c r="J19" s="31">
        <v>36.366664886474609</v>
      </c>
      <c r="K19" s="31">
        <v>38.319999694824219</v>
      </c>
      <c r="L19" s="31">
        <v>40.111110687255859</v>
      </c>
      <c r="M19" s="31">
        <v>39.103446960449219</v>
      </c>
      <c r="N19" s="31">
        <v>39.206897735595703</v>
      </c>
      <c r="O19" s="29">
        <f t="shared" si="0"/>
        <v>0.18026408987682266</v>
      </c>
      <c r="P19" s="29">
        <f t="shared" si="1"/>
        <v>7.8099898849328511E-2</v>
      </c>
    </row>
    <row r="20" spans="1:16" ht="18" customHeight="1">
      <c r="A20" s="187"/>
      <c r="B20" s="37" t="s">
        <v>202</v>
      </c>
      <c r="C20" s="38"/>
      <c r="D20" s="38">
        <v>0.97460591793060303</v>
      </c>
      <c r="E20" s="38">
        <v>0.81460034847259521</v>
      </c>
      <c r="F20" s="38">
        <v>0.8593597412109375</v>
      </c>
      <c r="G20" s="38">
        <v>0.77419477701187134</v>
      </c>
      <c r="H20" s="38">
        <v>0.91795879602432251</v>
      </c>
      <c r="I20" s="38">
        <v>0.806934654712677</v>
      </c>
      <c r="J20" s="38">
        <v>0.5746646523475647</v>
      </c>
      <c r="K20" s="38">
        <v>0.81393980979919434</v>
      </c>
      <c r="L20" s="38">
        <v>0.69904273748397827</v>
      </c>
      <c r="M20" s="38">
        <v>0.7574927806854248</v>
      </c>
      <c r="N20" s="38">
        <v>0.71602815389633179</v>
      </c>
      <c r="O20" s="29">
        <f t="shared" si="0"/>
        <v>-0.26531519999726011</v>
      </c>
      <c r="P20" s="29">
        <f t="shared" si="1"/>
        <v>0.24599303432233482</v>
      </c>
    </row>
    <row r="21" spans="1:16" ht="18" customHeight="1">
      <c r="A21" s="188"/>
      <c r="B21" s="39" t="s">
        <v>203</v>
      </c>
      <c r="C21" s="40"/>
      <c r="D21" s="40">
        <f ca="1">2607*OFFSET(D$113,MATCH($N$1,$C$113:$C$114,0)-1,0)</f>
        <v>2607</v>
      </c>
      <c r="E21" s="40">
        <f ca="1">2634*OFFSET(E$113,MATCH($N$1,$C$113:$C$114,0)-1,0)</f>
        <v>2634</v>
      </c>
      <c r="F21" s="40">
        <f ca="1">2563*OFFSET(F$113,MATCH($N$1,$C$113:$C$114,0)-1,0)</f>
        <v>2563</v>
      </c>
      <c r="G21" s="40">
        <f ca="1">2754*OFFSET(G$113,MATCH($N$1,$C$113:$C$114,0)-1,0)</f>
        <v>2754</v>
      </c>
      <c r="H21" s="40">
        <f ca="1">2510*OFFSET(H$113,MATCH($N$1,$C$113:$C$114,0)-1,0)</f>
        <v>2510</v>
      </c>
      <c r="I21" s="40">
        <f ca="1">2596*OFFSET(I$113,MATCH($N$1,$C$113:$C$114,0)-1,0)</f>
        <v>2596</v>
      </c>
      <c r="J21" s="40">
        <f ca="1">3312*OFFSET(J$113,MATCH($N$1,$C$113:$C$114,0)-1,0)</f>
        <v>3312</v>
      </c>
      <c r="K21" s="40">
        <f ca="1">3022*OFFSET(K$113,MATCH($N$1,$C$113:$C$114,0)-1,0)</f>
        <v>3022</v>
      </c>
      <c r="L21" s="40">
        <f ca="1">2078*OFFSET(L$113,MATCH($N$1,$C$113:$C$114,0)-1,0)</f>
        <v>2078</v>
      </c>
      <c r="M21" s="40">
        <f ca="1">2267*OFFSET(M$113,MATCH($N$1,$C$113:$C$114,0)-1,0)</f>
        <v>2267</v>
      </c>
      <c r="N21" s="40">
        <v>3074</v>
      </c>
      <c r="O21" s="34">
        <f t="shared" ca="1" si="0"/>
        <v>0.1791331031837361</v>
      </c>
      <c r="P21" s="34">
        <f t="shared" ca="1" si="1"/>
        <v>-7.1859903381642512E-2</v>
      </c>
    </row>
    <row r="22" spans="1:16" ht="18" customHeight="1">
      <c r="A22" s="189" t="s">
        <v>204</v>
      </c>
      <c r="B22" s="35" t="s">
        <v>205</v>
      </c>
      <c r="C22" s="41"/>
      <c r="D22" s="41">
        <v>2.9922154868455353</v>
      </c>
      <c r="E22" s="41">
        <v>2.5581684467125867</v>
      </c>
      <c r="F22" s="41">
        <v>2.6258873452062752</v>
      </c>
      <c r="G22" s="41">
        <v>2.2740631791526993</v>
      </c>
      <c r="H22" s="41">
        <v>2.7163436092090691</v>
      </c>
      <c r="I22" s="41">
        <v>2.476189791271969</v>
      </c>
      <c r="J22" s="41">
        <v>1.8524710411230856</v>
      </c>
      <c r="K22" s="41">
        <v>2.530334505139392</v>
      </c>
      <c r="L22" s="41">
        <v>2.2726202738731365</v>
      </c>
      <c r="M22" s="41">
        <v>2.4522328702462906</v>
      </c>
      <c r="N22" s="41">
        <v>2.2574491011319187</v>
      </c>
      <c r="O22" s="29">
        <f t="shared" si="0"/>
        <v>-0.24555931514418597</v>
      </c>
      <c r="P22" s="29">
        <f t="shared" si="1"/>
        <v>0.21861505579234838</v>
      </c>
    </row>
    <row r="23" spans="1:16" ht="18" customHeight="1">
      <c r="A23" s="189"/>
      <c r="B23" s="37" t="s">
        <v>206</v>
      </c>
      <c r="C23" s="38"/>
      <c r="D23" s="38">
        <f ca="1">7.80205361152463*OFFSET(D$113,MATCH($N$1,$C$113:$C$114,0)-1,0)</f>
        <v>7.80205361152463</v>
      </c>
      <c r="E23" s="38">
        <f ca="1">6.7379885143176*OFFSET(E$113,MATCH($N$1,$C$113:$C$114,0)-1,0)</f>
        <v>6.7379885143175997</v>
      </c>
      <c r="F23" s="38">
        <f ca="1">6.72981203255237*OFFSET(F$113,MATCH($N$1,$C$113:$C$114,0)-1,0)</f>
        <v>6.7298120325523696</v>
      </c>
      <c r="G23" s="38">
        <f ca="1">6.26231691769805*OFFSET(G$113,MATCH($N$1,$C$113:$C$114,0)-1,0)</f>
        <v>6.2623169176980502</v>
      </c>
      <c r="H23" s="38">
        <f ca="1">6.81800813751109*OFFSET(H$113,MATCH($N$1,$C$113:$C$114,0)-1,0)</f>
        <v>6.8180081375110904</v>
      </c>
      <c r="I23" s="38">
        <f ca="1">6.42797023972479*OFFSET(I$113,MATCH($N$1,$C$113:$C$114,0)-1,0)</f>
        <v>6.4279702397247904</v>
      </c>
      <c r="J23" s="38">
        <f ca="1">6.1359625452159*OFFSET(J$113,MATCH($N$1,$C$113:$C$114,0)-1,0)</f>
        <v>6.1359625452159001</v>
      </c>
      <c r="K23" s="38">
        <f ca="1">7.64787152682293*OFFSET(K$113,MATCH($N$1,$C$113:$C$114,0)-1,0)</f>
        <v>7.6478715268229296</v>
      </c>
      <c r="L23" s="38">
        <f ca="1">4.72206529275059*OFFSET(L$113,MATCH($N$1,$C$113:$C$114,0)-1,0)</f>
        <v>4.7220652927505897</v>
      </c>
      <c r="M23" s="38">
        <f ca="1">5.56001114756679*OFFSET(M$113,MATCH($N$1,$C$113:$C$114,0)-1,0)</f>
        <v>5.5600111475667902</v>
      </c>
      <c r="N23" s="38">
        <v>6.9397477105591925</v>
      </c>
      <c r="O23" s="29">
        <f t="shared" ca="1" si="0"/>
        <v>-0.11052293971573093</v>
      </c>
      <c r="P23" s="29">
        <f t="shared" ca="1" si="1"/>
        <v>0.13099577440706336</v>
      </c>
    </row>
    <row r="24" spans="1:16" ht="18" customHeight="1">
      <c r="A24" s="189"/>
      <c r="B24" s="37" t="s">
        <v>153</v>
      </c>
      <c r="C24" s="38"/>
      <c r="D24" s="38">
        <f ca="1">6.45491524287824*OFFSET(D$113,MATCH($N$1,$C$113:$C$114,0)-1,0)</f>
        <v>6.4549152428782399</v>
      </c>
      <c r="E24" s="38">
        <f ca="1">5.99208031085308*OFFSET(E$113,MATCH($N$1,$C$113:$C$114,0)-1,0)</f>
        <v>5.9920803108530798</v>
      </c>
      <c r="F24" s="38">
        <f ca="1">5.88734606588469*OFFSET(F$113,MATCH($N$1,$C$113:$C$114,0)-1,0)</f>
        <v>5.8873460658846897</v>
      </c>
      <c r="G24" s="38">
        <f ca="1">5.4328723032424*OFFSET(G$113,MATCH($N$1,$C$113:$C$114,0)-1,0)</f>
        <v>5.4328723032423998</v>
      </c>
      <c r="H24" s="38">
        <f ca="1">5.75117191904844*OFFSET(H$113,MATCH($N$1,$C$113:$C$114,0)-1,0)</f>
        <v>5.7511719190484403</v>
      </c>
      <c r="I24" s="38">
        <f ca="1">6.01578051760025*OFFSET(I$113,MATCH($N$1,$C$113:$C$114,0)-1,0)</f>
        <v>6.0157805176002501</v>
      </c>
      <c r="J24" s="38">
        <f ca="1">5.92070399783002*OFFSET(J$113,MATCH($N$1,$C$113:$C$114,0)-1,0)</f>
        <v>5.92070399783002</v>
      </c>
      <c r="K24" s="38">
        <f ca="1">6.66128205364997*OFFSET(K$113,MATCH($N$1,$C$113:$C$114,0)-1,0)</f>
        <v>6.6612820536499697</v>
      </c>
      <c r="L24" s="38">
        <f ca="1">4.88359051260989*OFFSET(L$113,MATCH($N$1,$C$113:$C$114,0)-1,0)</f>
        <v>4.8835905126098904</v>
      </c>
      <c r="M24" s="38">
        <f ca="1">5.59305310279519*OFFSET(M$113,MATCH($N$1,$C$113:$C$114,0)-1,0)</f>
        <v>5.5930531027951904</v>
      </c>
      <c r="N24" s="38">
        <v>7.2963592949351517</v>
      </c>
      <c r="O24" s="29">
        <f t="shared" ca="1" si="0"/>
        <v>0.13035710313706811</v>
      </c>
      <c r="P24" s="29">
        <f t="shared" ca="1" si="1"/>
        <v>0.23234657527370378</v>
      </c>
    </row>
    <row r="25" spans="1:16" ht="18" customHeight="1">
      <c r="A25" s="189"/>
      <c r="B25" s="37" t="s">
        <v>154</v>
      </c>
      <c r="C25" s="38"/>
      <c r="D25" s="38">
        <f ca="1">1.77612555230783*OFFSET(D$113,MATCH($N$1,$C$113:$C$114,0)-1,0)</f>
        <v>1.7761255523078301</v>
      </c>
      <c r="E25" s="38">
        <f ca="1">0.874552974372952*OFFSET(E$113,MATCH($N$1,$C$113:$C$114,0)-1,0)</f>
        <v>0.87455297437295199</v>
      </c>
      <c r="F25" s="38">
        <f ca="1">1.39722344373549*OFFSET(F$113,MATCH($N$1,$C$113:$C$114,0)-1,0)</f>
        <v>1.39722344373549</v>
      </c>
      <c r="G25" s="38">
        <f ca="1">0.993234240273214*OFFSET(G$113,MATCH($N$1,$C$113:$C$114,0)-1,0)</f>
        <v>0.99323424027321405</v>
      </c>
      <c r="H25" s="38">
        <f ca="1">1.19369131614603*OFFSET(H$113,MATCH($N$1,$C$113:$C$114,0)-1,0)</f>
        <v>1.1936913161460301</v>
      </c>
      <c r="I25" s="38">
        <f ca="1">0.93081683993501*OFFSET(I$113,MATCH($N$1,$C$113:$C$114,0)-1,0)</f>
        <v>0.93081683993500997</v>
      </c>
      <c r="J25" s="38">
        <f ca="1">0.398064422648383*OFFSET(J$113,MATCH($N$1,$C$113:$C$114,0)-1,0)</f>
        <v>0.39806442264838299</v>
      </c>
      <c r="K25" s="38">
        <f ca="1">1.146049241849*OFFSET(K$113,MATCH($N$1,$C$113:$C$114,0)-1,0)</f>
        <v>1.146049241849</v>
      </c>
      <c r="L25" s="38">
        <f ca="1">0.481513934577311*OFFSET(L$113,MATCH($N$1,$C$113:$C$114,0)-1,0)</f>
        <v>0.48151393457731101</v>
      </c>
      <c r="M25" s="38">
        <f ca="1">0.396335675607718*OFFSET(M$113,MATCH($N$1,$C$113:$C$114,0)-1,0)</f>
        <v>0.39633567560771799</v>
      </c>
      <c r="N25" s="38">
        <v>0.10126946412760741</v>
      </c>
      <c r="O25" s="29">
        <f t="shared" ca="1" si="0"/>
        <v>-0.94298293609028827</v>
      </c>
      <c r="P25" s="29">
        <f t="shared" ca="1" si="1"/>
        <v>-0.74559528969244149</v>
      </c>
    </row>
    <row r="26" spans="1:16" ht="18" customHeight="1">
      <c r="A26" s="189"/>
      <c r="B26" s="37" t="s">
        <v>207</v>
      </c>
      <c r="C26" s="33"/>
      <c r="D26" s="33">
        <f ca="1">77.18*OFFSET(D$113,MATCH($N$1,$C$113:$C$114,0)-1,0)</f>
        <v>77.180000000000007</v>
      </c>
      <c r="E26" s="33">
        <f ca="1">69.49*OFFSET(E$113,MATCH($N$1,$C$113:$C$114,0)-1,0)</f>
        <v>69.489999999999995</v>
      </c>
      <c r="F26" s="33">
        <f ca="1">82.55*OFFSET(F$113,MATCH($N$1,$C$113:$C$114,0)-1,0)</f>
        <v>82.55</v>
      </c>
      <c r="G26" s="33">
        <f ca="1">49.22*OFFSET(G$113,MATCH($N$1,$C$113:$C$114,0)-1,0)</f>
        <v>49.22</v>
      </c>
      <c r="H26" s="33">
        <f ca="1">69.17*OFFSET(H$113,MATCH($N$1,$C$113:$C$114,0)-1,0)</f>
        <v>69.17</v>
      </c>
      <c r="I26" s="33">
        <f ca="1">66.34*OFFSET(I$113,MATCH($N$1,$C$113:$C$114,0)-1,0)</f>
        <v>66.34</v>
      </c>
      <c r="J26" s="33">
        <f ca="1">54.98*OFFSET(J$113,MATCH($N$1,$C$113:$C$114,0)-1,0)</f>
        <v>54.98</v>
      </c>
      <c r="K26" s="33">
        <f ca="1">66.94*OFFSET(K$113,MATCH($N$1,$C$113:$C$114,0)-1,0)</f>
        <v>66.94</v>
      </c>
      <c r="L26" s="33">
        <f ca="1">48.48*OFFSET(L$113,MATCH($N$1,$C$113:$C$114,0)-1,0)</f>
        <v>48.48</v>
      </c>
      <c r="M26" s="33">
        <f ca="1">51.01*OFFSET(M$113,MATCH($N$1,$C$113:$C$114,0)-1,0)</f>
        <v>51.01</v>
      </c>
      <c r="N26" s="33">
        <v>65.010000000000005</v>
      </c>
      <c r="O26" s="29">
        <f t="shared" ca="1" si="0"/>
        <v>-0.15768333765224152</v>
      </c>
      <c r="P26" s="29">
        <f t="shared" ca="1" si="1"/>
        <v>0.18242997453619514</v>
      </c>
    </row>
    <row r="27" spans="1:16" ht="18" customHeight="1">
      <c r="A27" s="190"/>
      <c r="B27" s="37" t="s">
        <v>208</v>
      </c>
      <c r="C27" s="33"/>
      <c r="D27" s="33">
        <f ca="1">17.57*OFFSET(D$113,MATCH($N$1,$C$113:$C$114,0)-1,0)</f>
        <v>17.57</v>
      </c>
      <c r="E27" s="33">
        <f ca="1">9.02*OFFSET(E$113,MATCH($N$1,$C$113:$C$114,0)-1,0)</f>
        <v>9.02</v>
      </c>
      <c r="F27" s="33">
        <f ca="1">17.14*OFFSET(F$113,MATCH($N$1,$C$113:$C$114,0)-1,0)</f>
        <v>17.14</v>
      </c>
      <c r="G27" s="33">
        <f ca="1">7.8*OFFSET(G$113,MATCH($N$1,$C$113:$C$114,0)-1,0)</f>
        <v>7.8</v>
      </c>
      <c r="H27" s="33">
        <f ca="1">12.11*OFFSET(H$113,MATCH($N$1,$C$113:$C$114,0)-1,0)</f>
        <v>12.11</v>
      </c>
      <c r="I27" s="33">
        <f ca="1">9.6*OFFSET(I$113,MATCH($N$1,$C$113:$C$114,0)-1,0)</f>
        <v>9.6</v>
      </c>
      <c r="J27" s="33">
        <f ca="1">3.56*OFFSET(J$113,MATCH($N$1,$C$113:$C$114,0)-1,0)</f>
        <v>3.56</v>
      </c>
      <c r="K27" s="33">
        <f ca="1">10.02*OFFSET(K$113,MATCH($N$1,$C$113:$C$114,0)-1,0)</f>
        <v>10.02</v>
      </c>
      <c r="L27" s="33">
        <f ca="1">4.95*OFFSET(L$113,MATCH($N$1,$C$113:$C$114,0)-1,0)</f>
        <v>4.95</v>
      </c>
      <c r="M27" s="33">
        <f ca="1">3.63*OFFSET(M$113,MATCH($N$1,$C$113:$C$114,0)-1,0)</f>
        <v>3.63</v>
      </c>
      <c r="N27" s="33">
        <v>0.94</v>
      </c>
      <c r="O27" s="34">
        <f t="shared" ca="1" si="0"/>
        <v>-0.94649971542401812</v>
      </c>
      <c r="P27" s="34">
        <f t="shared" ca="1" si="1"/>
        <v>-0.7359550561797753</v>
      </c>
    </row>
    <row r="28" spans="1:16" s="78" customFormat="1" ht="18" customHeight="1">
      <c r="A28" s="191" t="s">
        <v>209</v>
      </c>
      <c r="B28" s="82" t="s">
        <v>200</v>
      </c>
      <c r="C28" s="83"/>
      <c r="D28" s="83">
        <f ca="1">462*OFFSET(D$113,MATCH($N$1,$C$113:$C$114,0)-1,0)</f>
        <v>462</v>
      </c>
      <c r="E28" s="83">
        <f ca="1">400.5*OFFSET(E$113,MATCH($N$1,$C$113:$C$114,0)-1,0)</f>
        <v>400.5</v>
      </c>
      <c r="F28" s="83">
        <f ca="1">420.5*OFFSET(F$113,MATCH($N$1,$C$113:$C$114,0)-1,0)</f>
        <v>420.5</v>
      </c>
      <c r="G28" s="83">
        <f ca="1">372.3*OFFSET(G$113,MATCH($N$1,$C$113:$C$114,0)-1,0)</f>
        <v>372.3</v>
      </c>
      <c r="H28" s="83">
        <f ca="1">426.1*OFFSET(H$113,MATCH($N$1,$C$113:$C$114,0)-1,0)</f>
        <v>426.1</v>
      </c>
      <c r="I28" s="83">
        <f ca="1">373.2*OFFSET(I$113,MATCH($N$1,$C$113:$C$114,0)-1,0)</f>
        <v>373.2</v>
      </c>
      <c r="J28" s="83">
        <f ca="1">333.5*OFFSET(J$113,MATCH($N$1,$C$113:$C$114,0)-1,0)</f>
        <v>333.5</v>
      </c>
      <c r="K28" s="83">
        <f ca="1">436.7*OFFSET(K$113,MATCH($N$1,$C$113:$C$114,0)-1,0)</f>
        <v>436.7</v>
      </c>
      <c r="L28" s="83">
        <f ca="1">205.6*OFFSET(L$113,MATCH($N$1,$C$113:$C$114,0)-1,0)</f>
        <v>205.6</v>
      </c>
      <c r="M28" s="83">
        <f ca="1">272.6*OFFSET(M$113,MATCH($N$1,$C$113:$C$114,0)-1,0)</f>
        <v>272.60000000000002</v>
      </c>
      <c r="N28" s="83">
        <v>344.90000000000003</v>
      </c>
      <c r="O28" s="84">
        <f t="shared" ca="1" si="0"/>
        <v>-0.25346320346320339</v>
      </c>
      <c r="P28" s="84">
        <f t="shared" ca="1" si="1"/>
        <v>3.4182908545727239E-2</v>
      </c>
    </row>
    <row r="29" spans="1:16" s="78" customFormat="1" ht="18" customHeight="1">
      <c r="A29" s="192"/>
      <c r="B29" s="85" t="s">
        <v>210</v>
      </c>
      <c r="C29" s="86"/>
      <c r="D29" s="86">
        <f ca="1">25.4*OFFSET(D$113,MATCH($N$1,$C$113:$C$114,0)-1,0)</f>
        <v>25.4</v>
      </c>
      <c r="E29" s="86">
        <f ca="1">7.6*OFFSET(E$113,MATCH($N$1,$C$113:$C$114,0)-1,0)</f>
        <v>7.6</v>
      </c>
      <c r="F29" s="86">
        <f ca="1">34.7*OFFSET(F$113,MATCH($N$1,$C$113:$C$114,0)-1,0)</f>
        <v>34.700000000000003</v>
      </c>
      <c r="G29" s="86">
        <f ca="1">9.7*OFFSET(G$113,MATCH($N$1,$C$113:$C$114,0)-1,0)</f>
        <v>9.6999999999999993</v>
      </c>
      <c r="H29" s="86">
        <f ca="1">7.9*OFFSET(H$113,MATCH($N$1,$C$113:$C$114,0)-1,0)</f>
        <v>7.9</v>
      </c>
      <c r="I29" s="86">
        <f ca="1">30.1*OFFSET(I$113,MATCH($N$1,$C$113:$C$114,0)-1,0)</f>
        <v>30.1</v>
      </c>
      <c r="J29" s="86">
        <f ca="1">9.9*OFFSET(J$113,MATCH($N$1,$C$113:$C$114,0)-1,0)</f>
        <v>9.9</v>
      </c>
      <c r="K29" s="86">
        <f ca="1">9.1*OFFSET(K$113,MATCH($N$1,$C$113:$C$114,0)-1,0)</f>
        <v>9.1</v>
      </c>
      <c r="L29" s="86">
        <f ca="1">28*OFFSET(L$113,MATCH($N$1,$C$113:$C$114,0)-1,0)</f>
        <v>28</v>
      </c>
      <c r="M29" s="86">
        <f ca="1">21.1*OFFSET(M$113,MATCH($N$1,$C$113:$C$114,0)-1,0)</f>
        <v>21.1</v>
      </c>
      <c r="N29" s="86">
        <v>22.8</v>
      </c>
      <c r="O29" s="84">
        <f t="shared" ca="1" si="0"/>
        <v>-0.10236220472440936</v>
      </c>
      <c r="P29" s="84">
        <f t="shared" ca="1" si="1"/>
        <v>1.303030303030303</v>
      </c>
    </row>
    <row r="30" spans="1:16" s="78" customFormat="1" ht="18" customHeight="1">
      <c r="A30" s="192"/>
      <c r="B30" s="87" t="s">
        <v>211</v>
      </c>
      <c r="C30" s="88"/>
      <c r="D30" s="88">
        <f ca="1">487.4*OFFSET(D$113,MATCH($N$1,$C$113:$C$114,0)-1,0)</f>
        <v>487.4</v>
      </c>
      <c r="E30" s="88">
        <f ca="1">408.1*OFFSET(E$113,MATCH($N$1,$C$113:$C$114,0)-1,0)</f>
        <v>408.1</v>
      </c>
      <c r="F30" s="88">
        <f ca="1">455.2*OFFSET(F$113,MATCH($N$1,$C$113:$C$114,0)-1,0)</f>
        <v>455.2</v>
      </c>
      <c r="G30" s="88">
        <f ca="1">382*OFFSET(G$113,MATCH($N$1,$C$113:$C$114,0)-1,0)</f>
        <v>382</v>
      </c>
      <c r="H30" s="88">
        <f ca="1">434*OFFSET(H$113,MATCH($N$1,$C$113:$C$114,0)-1,0)</f>
        <v>434</v>
      </c>
      <c r="I30" s="88">
        <f ca="1">403.3*OFFSET(I$113,MATCH($N$1,$C$113:$C$114,0)-1,0)</f>
        <v>403.3</v>
      </c>
      <c r="J30" s="88">
        <f ca="1">343.4*OFFSET(J$113,MATCH($N$1,$C$113:$C$114,0)-1,0)</f>
        <v>343.4</v>
      </c>
      <c r="K30" s="88">
        <f ca="1">445.8*OFFSET(K$113,MATCH($N$1,$C$113:$C$114,0)-1,0)</f>
        <v>445.8</v>
      </c>
      <c r="L30" s="88">
        <f ca="1">233.5*OFFSET(L$113,MATCH($N$1,$C$113:$C$114,0)-1,0)</f>
        <v>233.5</v>
      </c>
      <c r="M30" s="88">
        <f ca="1">293.7*OFFSET(M$113,MATCH($N$1,$C$113:$C$114,0)-1,0)</f>
        <v>293.7</v>
      </c>
      <c r="N30" s="88">
        <v>367.7</v>
      </c>
      <c r="O30" s="84">
        <f t="shared" ca="1" si="0"/>
        <v>-0.24558883873615101</v>
      </c>
      <c r="P30" s="84">
        <f t="shared" ca="1" si="1"/>
        <v>7.0762958648806093E-2</v>
      </c>
    </row>
    <row r="31" spans="1:16" s="78" customFormat="1" ht="18" customHeight="1">
      <c r="A31" s="192"/>
      <c r="B31" s="85" t="s">
        <v>212</v>
      </c>
      <c r="C31" s="86"/>
      <c r="D31" s="86">
        <f ca="1">100.1*OFFSET(D$113,MATCH($N$1,$C$113:$C$114,0)-1,0)</f>
        <v>100.1</v>
      </c>
      <c r="E31" s="86">
        <f ca="1">98.3*OFFSET(E$113,MATCH($N$1,$C$113:$C$114,0)-1,0)</f>
        <v>98.3</v>
      </c>
      <c r="F31" s="86">
        <f ca="1">91.5*OFFSET(F$113,MATCH($N$1,$C$113:$C$114,0)-1,0)</f>
        <v>91.5</v>
      </c>
      <c r="G31" s="86">
        <f ca="1">58*OFFSET(G$113,MATCH($N$1,$C$113:$C$114,0)-1,0)</f>
        <v>58</v>
      </c>
      <c r="H31" s="86">
        <f ca="1">57.1*OFFSET(H$113,MATCH($N$1,$C$113:$C$114,0)-1,0)</f>
        <v>57.1</v>
      </c>
      <c r="I31" s="86">
        <f ca="1">66.6*OFFSET(I$113,MATCH($N$1,$C$113:$C$114,0)-1,0)</f>
        <v>66.599999999999994</v>
      </c>
      <c r="J31" s="86">
        <f ca="1">77.4*OFFSET(J$113,MATCH($N$1,$C$113:$C$114,0)-1,0)</f>
        <v>77.400000000000006</v>
      </c>
      <c r="K31" s="86">
        <f ca="1">74.9*OFFSET(K$113,MATCH($N$1,$C$113:$C$114,0)-1,0)</f>
        <v>74.900000000000006</v>
      </c>
      <c r="L31" s="86">
        <f ca="1">42.8*OFFSET(L$113,MATCH($N$1,$C$113:$C$114,0)-1,0)</f>
        <v>42.8</v>
      </c>
      <c r="M31" s="86">
        <f ca="1">58.9*OFFSET(M$113,MATCH($N$1,$C$113:$C$114,0)-1,0)</f>
        <v>58.9</v>
      </c>
      <c r="N31" s="86">
        <v>101.9</v>
      </c>
      <c r="O31" s="84">
        <f t="shared" ca="1" si="0"/>
        <v>1.7982017982018098E-2</v>
      </c>
      <c r="P31" s="84">
        <f t="shared" ca="1" si="1"/>
        <v>0.31653746770025837</v>
      </c>
    </row>
    <row r="32" spans="1:16" s="78" customFormat="1" ht="18" customHeight="1">
      <c r="A32" s="192"/>
      <c r="B32" s="85" t="s">
        <v>213</v>
      </c>
      <c r="C32" s="86"/>
      <c r="D32" s="86">
        <f ca="1">108.2*OFFSET(D$113,MATCH($N$1,$C$113:$C$114,0)-1,0)</f>
        <v>108.2</v>
      </c>
      <c r="E32" s="86">
        <f ca="1">93.2*OFFSET(E$113,MATCH($N$1,$C$113:$C$114,0)-1,0)</f>
        <v>93.2</v>
      </c>
      <c r="F32" s="86">
        <f ca="1">111.2*OFFSET(F$113,MATCH($N$1,$C$113:$C$114,0)-1,0)</f>
        <v>111.2</v>
      </c>
      <c r="G32" s="86">
        <f ca="1">107.4*OFFSET(G$113,MATCH($N$1,$C$113:$C$114,0)-1,0)</f>
        <v>107.4</v>
      </c>
      <c r="H32" s="86">
        <f ca="1">135.3*OFFSET(H$113,MATCH($N$1,$C$113:$C$114,0)-1,0)</f>
        <v>135.30000000000001</v>
      </c>
      <c r="I32" s="86">
        <f ca="1">120.5*OFFSET(I$113,MATCH($N$1,$C$113:$C$114,0)-1,0)</f>
        <v>120.5</v>
      </c>
      <c r="J32" s="86">
        <f ca="1">95.3*OFFSET(J$113,MATCH($N$1,$C$113:$C$114,0)-1,0)</f>
        <v>95.3</v>
      </c>
      <c r="K32" s="86">
        <f ca="1">129.8*OFFSET(K$113,MATCH($N$1,$C$113:$C$114,0)-1,0)</f>
        <v>129.80000000000001</v>
      </c>
      <c r="L32" s="86">
        <f ca="1">63.7*OFFSET(L$113,MATCH($N$1,$C$113:$C$114,0)-1,0)</f>
        <v>63.7</v>
      </c>
      <c r="M32" s="86">
        <f ca="1">73.1*OFFSET(M$113,MATCH($N$1,$C$113:$C$114,0)-1,0)</f>
        <v>73.099999999999994</v>
      </c>
      <c r="N32" s="86">
        <v>80.7</v>
      </c>
      <c r="O32" s="84">
        <f t="shared" ca="1" si="0"/>
        <v>-0.25415896487985212</v>
      </c>
      <c r="P32" s="84">
        <f t="shared" ca="1" si="1"/>
        <v>-0.15320041972717727</v>
      </c>
    </row>
    <row r="33" spans="1:16" s="78" customFormat="1" ht="18" customHeight="1">
      <c r="A33" s="192"/>
      <c r="B33" s="85" t="s">
        <v>214</v>
      </c>
      <c r="C33" s="86"/>
      <c r="D33" s="86">
        <f ca="1">64.3*OFFSET(D$113,MATCH($N$1,$C$113:$C$114,0)-1,0)</f>
        <v>64.3</v>
      </c>
      <c r="E33" s="86">
        <f ca="1">65.1*OFFSET(E$113,MATCH($N$1,$C$113:$C$114,0)-1,0)</f>
        <v>65.099999999999994</v>
      </c>
      <c r="F33" s="86">
        <f ca="1">64.9*OFFSET(F$113,MATCH($N$1,$C$113:$C$114,0)-1,0)</f>
        <v>64.900000000000006</v>
      </c>
      <c r="G33" s="86">
        <f ca="1">63.1*OFFSET(G$113,MATCH($N$1,$C$113:$C$114,0)-1,0)</f>
        <v>63.1</v>
      </c>
      <c r="H33" s="86">
        <f ca="1">66.5*OFFSET(H$113,MATCH($N$1,$C$113:$C$114,0)-1,0)</f>
        <v>66.5</v>
      </c>
      <c r="I33" s="86">
        <f ca="1">58.3*OFFSET(I$113,MATCH($N$1,$C$113:$C$114,0)-1,0)</f>
        <v>58.3</v>
      </c>
      <c r="J33" s="86">
        <f ca="1">39.5*OFFSET(J$113,MATCH($N$1,$C$113:$C$114,0)-1,0)</f>
        <v>39.5</v>
      </c>
      <c r="K33" s="86">
        <f ca="1">44.1*OFFSET(K$113,MATCH($N$1,$C$113:$C$114,0)-1,0)</f>
        <v>44.1</v>
      </c>
      <c r="L33" s="86">
        <f ca="1">32.8*OFFSET(L$113,MATCH($N$1,$C$113:$C$114,0)-1,0)</f>
        <v>32.799999999999997</v>
      </c>
      <c r="M33" s="86">
        <f ca="1">43.3*OFFSET(M$113,MATCH($N$1,$C$113:$C$114,0)-1,0)</f>
        <v>43.3</v>
      </c>
      <c r="N33" s="86">
        <v>54.800000000000004</v>
      </c>
      <c r="O33" s="84">
        <f t="shared" ca="1" si="0"/>
        <v>-0.14774494556765153</v>
      </c>
      <c r="P33" s="84">
        <f t="shared" ca="1" si="1"/>
        <v>0.38734177215189886</v>
      </c>
    </row>
    <row r="34" spans="1:16" s="78" customFormat="1" ht="18" customHeight="1">
      <c r="A34" s="192"/>
      <c r="B34" s="85" t="s">
        <v>215</v>
      </c>
      <c r="C34" s="86"/>
      <c r="D34" s="86">
        <f ca="1">272.6*OFFSET(D$113,MATCH($N$1,$C$113:$C$114,0)-1,0)</f>
        <v>272.60000000000002</v>
      </c>
      <c r="E34" s="86">
        <f ca="1">256.6*OFFSET(E$113,MATCH($N$1,$C$113:$C$114,0)-1,0)</f>
        <v>256.60000000000002</v>
      </c>
      <c r="F34" s="86">
        <f ca="1">267.7*OFFSET(F$113,MATCH($N$1,$C$113:$C$114,0)-1,0)</f>
        <v>267.7</v>
      </c>
      <c r="G34" s="86">
        <f ca="1">228.6*OFFSET(G$113,MATCH($N$1,$C$113:$C$114,0)-1,0)</f>
        <v>228.6</v>
      </c>
      <c r="H34" s="86">
        <f ca="1">259*OFFSET(H$113,MATCH($N$1,$C$113:$C$114,0)-1,0)</f>
        <v>259</v>
      </c>
      <c r="I34" s="86">
        <f ca="1">245.4*OFFSET(I$113,MATCH($N$1,$C$113:$C$114,0)-1,0)</f>
        <v>245.4</v>
      </c>
      <c r="J34" s="86">
        <f ca="1">212.2*OFFSET(J$113,MATCH($N$1,$C$113:$C$114,0)-1,0)</f>
        <v>212.2</v>
      </c>
      <c r="K34" s="86">
        <f ca="1">248.9*OFFSET(K$113,MATCH($N$1,$C$113:$C$114,0)-1,0)</f>
        <v>248.9</v>
      </c>
      <c r="L34" s="86">
        <f ca="1">139.3*OFFSET(L$113,MATCH($N$1,$C$113:$C$114,0)-1,0)</f>
        <v>139.30000000000001</v>
      </c>
      <c r="M34" s="86">
        <f ca="1">175.3*OFFSET(M$113,MATCH($N$1,$C$113:$C$114,0)-1,0)</f>
        <v>175.3</v>
      </c>
      <c r="N34" s="86">
        <v>237.5</v>
      </c>
      <c r="O34" s="84">
        <f t="shared" ca="1" si="0"/>
        <v>-0.12876008804108591</v>
      </c>
      <c r="P34" s="84">
        <f t="shared" ca="1" si="1"/>
        <v>0.11922714420358159</v>
      </c>
    </row>
    <row r="35" spans="1:16" s="78" customFormat="1" ht="18" customHeight="1">
      <c r="A35" s="192"/>
      <c r="B35" s="85" t="s">
        <v>216</v>
      </c>
      <c r="C35" s="86"/>
      <c r="D35" s="86">
        <f ca="1">109.6*OFFSET(D$113,MATCH($N$1,$C$113:$C$114,0)-1,0)</f>
        <v>109.6</v>
      </c>
      <c r="E35" s="86">
        <f ca="1">99.6*OFFSET(E$113,MATCH($N$1,$C$113:$C$114,0)-1,0)</f>
        <v>99.6</v>
      </c>
      <c r="F35" s="86">
        <f ca="1">100.2*OFFSET(F$113,MATCH($N$1,$C$113:$C$114,0)-1,0)</f>
        <v>100.2</v>
      </c>
      <c r="G35" s="86">
        <f ca="1">94.4*OFFSET(G$113,MATCH($N$1,$C$113:$C$114,0)-1,0)</f>
        <v>94.4</v>
      </c>
      <c r="H35" s="86">
        <f ca="1">100.4*OFFSET(H$113,MATCH($N$1,$C$113:$C$114,0)-1,0)</f>
        <v>100.4</v>
      </c>
      <c r="I35" s="86">
        <f ca="1">103.8*OFFSET(I$113,MATCH($N$1,$C$113:$C$114,0)-1,0)</f>
        <v>103.8</v>
      </c>
      <c r="J35" s="86">
        <f ca="1">109.6*OFFSET(J$113,MATCH($N$1,$C$113:$C$114,0)-1,0)</f>
        <v>109.6</v>
      </c>
      <c r="K35" s="86">
        <f ca="1">131.5*OFFSET(K$113,MATCH($N$1,$C$113:$C$114,0)-1,0)</f>
        <v>131.5</v>
      </c>
      <c r="L35" s="86">
        <f ca="1">73.3*OFFSET(L$113,MATCH($N$1,$C$113:$C$114,0)-1,0)</f>
        <v>73.3</v>
      </c>
      <c r="M35" s="86">
        <f ca="1">98.9*OFFSET(M$113,MATCH($N$1,$C$113:$C$114,0)-1,0)</f>
        <v>98.9</v>
      </c>
      <c r="N35" s="86">
        <v>125.2</v>
      </c>
      <c r="O35" s="84">
        <f t="shared" ca="1" si="0"/>
        <v>0.14233576642335774</v>
      </c>
      <c r="P35" s="84">
        <f t="shared" ca="1" si="1"/>
        <v>0.14233576642335774</v>
      </c>
    </row>
    <row r="36" spans="1:16" s="78" customFormat="1" ht="18" customHeight="1">
      <c r="A36" s="192"/>
      <c r="B36" s="85" t="s">
        <v>217</v>
      </c>
      <c r="C36" s="86"/>
      <c r="D36" s="86">
        <f ca="1">382.3*OFFSET(D$113,MATCH($N$1,$C$113:$C$114,0)-1,0)</f>
        <v>382.3</v>
      </c>
      <c r="E36" s="86">
        <f ca="1">356.1*OFFSET(E$113,MATCH($N$1,$C$113:$C$114,0)-1,0)</f>
        <v>356.1</v>
      </c>
      <c r="F36" s="86">
        <f ca="1">367.9*OFFSET(F$113,MATCH($N$1,$C$113:$C$114,0)-1,0)</f>
        <v>367.9</v>
      </c>
      <c r="G36" s="86">
        <f ca="1">323*OFFSET(G$113,MATCH($N$1,$C$113:$C$114,0)-1,0)</f>
        <v>323</v>
      </c>
      <c r="H36" s="86">
        <f ca="1">359.4*OFFSET(H$113,MATCH($N$1,$C$113:$C$114,0)-1,0)</f>
        <v>359.4</v>
      </c>
      <c r="I36" s="86">
        <f ca="1">349.3*OFFSET(I$113,MATCH($N$1,$C$113:$C$114,0)-1,0)</f>
        <v>349.3</v>
      </c>
      <c r="J36" s="86">
        <f ca="1">321.8*OFFSET(J$113,MATCH($N$1,$C$113:$C$114,0)-1,0)</f>
        <v>321.8</v>
      </c>
      <c r="K36" s="86">
        <f ca="1">380.4*OFFSET(K$113,MATCH($N$1,$C$113:$C$114,0)-1,0)</f>
        <v>380.4</v>
      </c>
      <c r="L36" s="86">
        <f ca="1">212.6*OFFSET(L$113,MATCH($N$1,$C$113:$C$114,0)-1,0)</f>
        <v>212.6</v>
      </c>
      <c r="M36" s="86">
        <f ca="1">274.2*OFFSET(M$113,MATCH($N$1,$C$113:$C$114,0)-1,0)</f>
        <v>274.2</v>
      </c>
      <c r="N36" s="86">
        <v>362.6</v>
      </c>
      <c r="O36" s="84">
        <f t="shared" ca="1" si="0"/>
        <v>-5.1530211875490423E-2</v>
      </c>
      <c r="P36" s="84">
        <f t="shared" ca="1" si="1"/>
        <v>0.12678682411435677</v>
      </c>
    </row>
    <row r="37" spans="1:16" s="78" customFormat="1" ht="18" customHeight="1">
      <c r="A37" s="192"/>
      <c r="B37" s="87" t="s">
        <v>218</v>
      </c>
      <c r="C37" s="88"/>
      <c r="D37" s="88">
        <f ca="1">213.4*OFFSET(D$113,MATCH($N$1,$C$113:$C$114,0)-1,0)</f>
        <v>213.4</v>
      </c>
      <c r="E37" s="88">
        <f ca="1">145.2*OFFSET(E$113,MATCH($N$1,$C$113:$C$114,0)-1,0)</f>
        <v>145.19999999999999</v>
      </c>
      <c r="F37" s="88">
        <f ca="1">198.5*OFFSET(F$113,MATCH($N$1,$C$113:$C$114,0)-1,0)</f>
        <v>198.5</v>
      </c>
      <c r="G37" s="88">
        <f ca="1">166.4*OFFSET(G$113,MATCH($N$1,$C$113:$C$114,0)-1,0)</f>
        <v>166.4</v>
      </c>
      <c r="H37" s="88">
        <f ca="1">209.9*OFFSET(H$113,MATCH($N$1,$C$113:$C$114,0)-1,0)</f>
        <v>209.9</v>
      </c>
      <c r="I37" s="88">
        <f ca="1">174.5*OFFSET(I$113,MATCH($N$1,$C$113:$C$114,0)-1,0)</f>
        <v>174.5</v>
      </c>
      <c r="J37" s="88">
        <f ca="1">116.9*OFFSET(J$113,MATCH($N$1,$C$113:$C$114,0)-1,0)</f>
        <v>116.9</v>
      </c>
      <c r="K37" s="88">
        <f ca="1">195.2*OFFSET(K$113,MATCH($N$1,$C$113:$C$114,0)-1,0)</f>
        <v>195.2</v>
      </c>
      <c r="L37" s="88">
        <f ca="1">84.7*OFFSET(L$113,MATCH($N$1,$C$113:$C$114,0)-1,0)</f>
        <v>84.7</v>
      </c>
      <c r="M37" s="88">
        <f ca="1">92.5*OFFSET(M$113,MATCH($N$1,$C$113:$C$114,0)-1,0)</f>
        <v>92.5</v>
      </c>
      <c r="N37" s="88">
        <v>85.7</v>
      </c>
      <c r="O37" s="84">
        <f t="shared" ca="1" si="0"/>
        <v>-0.59840674789128401</v>
      </c>
      <c r="P37" s="84">
        <f t="shared" ca="1" si="1"/>
        <v>-0.26689478186484178</v>
      </c>
    </row>
    <row r="38" spans="1:16" s="78" customFormat="1" ht="18" customHeight="1">
      <c r="A38" s="192"/>
      <c r="B38" s="87" t="s">
        <v>219</v>
      </c>
      <c r="C38" s="88"/>
      <c r="D38" s="88">
        <f ca="1">105.2*OFFSET(D$113,MATCH($N$1,$C$113:$C$114,0)-1,0)</f>
        <v>105.2</v>
      </c>
      <c r="E38" s="88">
        <f ca="1">52*OFFSET(E$113,MATCH($N$1,$C$113:$C$114,0)-1,0)</f>
        <v>52</v>
      </c>
      <c r="F38" s="88">
        <f ca="1">87.3*OFFSET(F$113,MATCH($N$1,$C$113:$C$114,0)-1,0)</f>
        <v>87.3</v>
      </c>
      <c r="G38" s="88">
        <f ca="1">59*OFFSET(G$113,MATCH($N$1,$C$113:$C$114,0)-1,0)</f>
        <v>59</v>
      </c>
      <c r="H38" s="88">
        <f ca="1">74.6*OFFSET(H$113,MATCH($N$1,$C$113:$C$114,0)-1,0)</f>
        <v>74.599999999999994</v>
      </c>
      <c r="I38" s="88">
        <f ca="1">54*OFFSET(I$113,MATCH($N$1,$C$113:$C$114,0)-1,0)</f>
        <v>54</v>
      </c>
      <c r="J38" s="88">
        <f ca="1">21.6*OFFSET(J$113,MATCH($N$1,$C$113:$C$114,0)-1,0)</f>
        <v>21.6</v>
      </c>
      <c r="K38" s="88">
        <f ca="1">65.4*OFFSET(K$113,MATCH($N$1,$C$113:$C$114,0)-1,0)</f>
        <v>65.400000000000006</v>
      </c>
      <c r="L38" s="88">
        <f ca="1">21*OFFSET(L$113,MATCH($N$1,$C$113:$C$114,0)-1,0)</f>
        <v>21</v>
      </c>
      <c r="M38" s="88">
        <f ca="1">19.4*OFFSET(M$113,MATCH($N$1,$C$113:$C$114,0)-1,0)</f>
        <v>19.399999999999999</v>
      </c>
      <c r="N38" s="88">
        <v>5</v>
      </c>
      <c r="O38" s="84">
        <f t="shared" ca="1" si="0"/>
        <v>-0.95247148288973382</v>
      </c>
      <c r="P38" s="84">
        <f t="shared" ca="1" si="1"/>
        <v>-0.76851851851851849</v>
      </c>
    </row>
    <row r="39" spans="1:16" s="78" customFormat="1" ht="18" customHeight="1">
      <c r="A39" s="192"/>
      <c r="B39" s="85" t="s">
        <v>220</v>
      </c>
      <c r="C39" s="86"/>
      <c r="D39" s="86">
        <f ca="1">19.5*OFFSET(D$113,MATCH($N$1,$C$113:$C$114,0)-1,0)</f>
        <v>19.5</v>
      </c>
      <c r="E39" s="86">
        <f ca="1">20.4*OFFSET(E$113,MATCH($N$1,$C$113:$C$114,0)-1,0)</f>
        <v>20.399999999999999</v>
      </c>
      <c r="F39" s="86">
        <f ca="1">21.2*OFFSET(F$113,MATCH($N$1,$C$113:$C$114,0)-1,0)</f>
        <v>21.2</v>
      </c>
      <c r="G39" s="86">
        <f ca="1">21.1*OFFSET(G$113,MATCH($N$1,$C$113:$C$114,0)-1,0)</f>
        <v>21.1</v>
      </c>
      <c r="H39" s="86">
        <f ca="1">26.7*OFFSET(H$113,MATCH($N$1,$C$113:$C$114,0)-1,0)</f>
        <v>26.7</v>
      </c>
      <c r="I39" s="86">
        <f ca="1">19.4*OFFSET(I$113,MATCH($N$1,$C$113:$C$114,0)-1,0)</f>
        <v>19.399999999999999</v>
      </c>
      <c r="J39" s="86">
        <f ca="1">18.6*OFFSET(J$113,MATCH($N$1,$C$113:$C$114,0)-1,0)</f>
        <v>18.600000000000001</v>
      </c>
      <c r="K39" s="86">
        <f ca="1">21.2*OFFSET(K$113,MATCH($N$1,$C$113:$C$114,0)-1,0)</f>
        <v>21.2</v>
      </c>
      <c r="L39" s="86">
        <f ca="1">13.9*OFFSET(L$113,MATCH($N$1,$C$113:$C$114,0)-1,0)</f>
        <v>13.9</v>
      </c>
      <c r="M39" s="86">
        <f ca="1">19.7*OFFSET(M$113,MATCH($N$1,$C$113:$C$114,0)-1,0)</f>
        <v>19.7</v>
      </c>
      <c r="N39" s="86"/>
      <c r="O39" s="84" t="str">
        <f t="shared" si="0"/>
        <v/>
      </c>
      <c r="P39" s="84" t="str">
        <f t="shared" si="1"/>
        <v/>
      </c>
    </row>
    <row r="40" spans="1:16" s="78" customFormat="1" ht="18" customHeight="1">
      <c r="A40" s="192"/>
      <c r="B40" s="85" t="s">
        <v>221</v>
      </c>
      <c r="C40" s="86"/>
      <c r="D40" s="86">
        <f ca="1">9.4*OFFSET(D$113,MATCH($N$1,$C$113:$C$114,0)-1,0)</f>
        <v>9.4</v>
      </c>
      <c r="E40" s="86">
        <f ca="1">4.8*OFFSET(E$113,MATCH($N$1,$C$113:$C$114,0)-1,0)</f>
        <v>4.8</v>
      </c>
      <c r="F40" s="86">
        <f ca="1">5.1*OFFSET(F$113,MATCH($N$1,$C$113:$C$114,0)-1,0)</f>
        <v>5.0999999999999996</v>
      </c>
      <c r="G40" s="86">
        <f ca="1">4.6*OFFSET(G$113,MATCH($N$1,$C$113:$C$114,0)-1,0)</f>
        <v>4.5999999999999996</v>
      </c>
      <c r="H40" s="86">
        <f ca="1">4.4*OFFSET(H$113,MATCH($N$1,$C$113:$C$114,0)-1,0)</f>
        <v>4.4000000000000004</v>
      </c>
      <c r="I40" s="86">
        <f ca="1">2.6*OFFSET(I$113,MATCH($N$1,$C$113:$C$114,0)-1,0)</f>
        <v>2.6</v>
      </c>
      <c r="J40" s="86">
        <f ca="1">1.8*OFFSET(J$113,MATCH($N$1,$C$113:$C$114,0)-1,0)</f>
        <v>1.8</v>
      </c>
      <c r="K40" s="86">
        <f ca="1">3.7*OFFSET(K$113,MATCH($N$1,$C$113:$C$114,0)-1,0)</f>
        <v>3.7</v>
      </c>
      <c r="L40" s="86">
        <f ca="1">2.9*OFFSET(L$113,MATCH($N$1,$C$113:$C$114,0)-1,0)</f>
        <v>2.9</v>
      </c>
      <c r="M40" s="86">
        <f ca="1">5.4*OFFSET(M$113,MATCH($N$1,$C$113:$C$114,0)-1,0)</f>
        <v>5.4</v>
      </c>
      <c r="N40" s="86"/>
      <c r="O40" s="84" t="str">
        <f t="shared" si="0"/>
        <v/>
      </c>
      <c r="P40" s="84" t="str">
        <f t="shared" si="1"/>
        <v/>
      </c>
    </row>
    <row r="41" spans="1:16" s="78" customFormat="1" ht="18" customHeight="1">
      <c r="A41" s="192"/>
      <c r="B41" s="85" t="s">
        <v>222</v>
      </c>
      <c r="C41" s="86"/>
      <c r="D41" s="86">
        <f ca="1">0.7*OFFSET(D$113,MATCH($N$1,$C$113:$C$114,0)-1,0)</f>
        <v>0.7</v>
      </c>
      <c r="E41" s="86">
        <f ca="1">3.5*OFFSET(E$113,MATCH($N$1,$C$113:$C$114,0)-1,0)</f>
        <v>3.5</v>
      </c>
      <c r="F41" s="86">
        <f ca="1">4.2*OFFSET(F$113,MATCH($N$1,$C$113:$C$114,0)-1,0)</f>
        <v>4.2</v>
      </c>
      <c r="G41" s="86">
        <f ca="1">3.7*OFFSET(G$113,MATCH($N$1,$C$113:$C$114,0)-1,0)</f>
        <v>3.7</v>
      </c>
      <c r="H41" s="86">
        <f ca="1">1.8*OFFSET(H$113,MATCH($N$1,$C$113:$C$114,0)-1,0)</f>
        <v>1.8</v>
      </c>
      <c r="I41" s="86">
        <f ca="1">1.3*OFFSET(I$113,MATCH($N$1,$C$113:$C$114,0)-1,0)</f>
        <v>1.3</v>
      </c>
      <c r="J41" s="86">
        <f ca="1">4.8*OFFSET(J$113,MATCH($N$1,$C$113:$C$114,0)-1,0)</f>
        <v>4.8</v>
      </c>
      <c r="K41" s="86">
        <f ca="1">1.5*OFFSET(K$113,MATCH($N$1,$C$113:$C$114,0)-1,0)</f>
        <v>1.5</v>
      </c>
      <c r="L41" s="86">
        <f ca="1">0.2*OFFSET(L$113,MATCH($N$1,$C$113:$C$114,0)-1,0)</f>
        <v>0.2</v>
      </c>
      <c r="M41" s="86">
        <f ca="1">0.3*OFFSET(M$113,MATCH($N$1,$C$113:$C$114,0)-1,0)</f>
        <v>0.3</v>
      </c>
      <c r="N41" s="86"/>
      <c r="O41" s="84" t="str">
        <f t="shared" si="0"/>
        <v/>
      </c>
      <c r="P41" s="84" t="str">
        <f t="shared" si="1"/>
        <v/>
      </c>
    </row>
    <row r="42" spans="1:16" s="78" customFormat="1" ht="18" customHeight="1" thickBot="1">
      <c r="A42" s="193"/>
      <c r="B42" s="89" t="s">
        <v>223</v>
      </c>
      <c r="C42" s="90"/>
      <c r="D42" s="90">
        <f ca="1">75.6*OFFSET(D$113,MATCH($N$1,$C$113:$C$114,0)-1,0)</f>
        <v>75.599999999999994</v>
      </c>
      <c r="E42" s="90">
        <f ca="1">23.3*OFFSET(E$113,MATCH($N$1,$C$113:$C$114,0)-1,0)</f>
        <v>23.3</v>
      </c>
      <c r="F42" s="90">
        <f ca="1">56.8*OFFSET(F$113,MATCH($N$1,$C$113:$C$114,0)-1,0)</f>
        <v>56.8</v>
      </c>
      <c r="G42" s="90">
        <f ca="1">29.7*OFFSET(G$113,MATCH($N$1,$C$113:$C$114,0)-1,0)</f>
        <v>29.7</v>
      </c>
      <c r="H42" s="90">
        <f ca="1">41.7*OFFSET(H$113,MATCH($N$1,$C$113:$C$114,0)-1,0)</f>
        <v>41.7</v>
      </c>
      <c r="I42" s="90">
        <f ca="1">30.8*OFFSET(I$113,MATCH($N$1,$C$113:$C$114,0)-1,0)</f>
        <v>30.8</v>
      </c>
      <c r="J42" s="90">
        <f ca="1">-3.5*OFFSET(J$113,MATCH($N$1,$C$113:$C$114,0)-1,0)</f>
        <v>-3.5</v>
      </c>
      <c r="K42" s="90">
        <f ca="1">39*OFFSET(K$113,MATCH($N$1,$C$113:$C$114,0)-1,0)</f>
        <v>39</v>
      </c>
      <c r="L42" s="90">
        <f ca="1">4*OFFSET(L$113,MATCH($N$1,$C$113:$C$114,0)-1,0)</f>
        <v>4</v>
      </c>
      <c r="M42" s="90">
        <f ca="1">-6.1*OFFSET(M$113,MATCH($N$1,$C$113:$C$114,0)-1,0)</f>
        <v>-6.1</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158</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WOS nephrops over 250kW</v>
      </c>
      <c r="C49" s="101"/>
      <c r="D49" s="101"/>
      <c r="E49" s="101"/>
      <c r="F49" s="101"/>
      <c r="G49" s="101"/>
      <c r="K49" s="101" t="str">
        <f>$B25&amp;CHAR(10)&amp;$A$1</f>
        <v>Operating profit per kW day at sea (£)
WOS nephrops over 250kW</v>
      </c>
    </row>
    <row r="50" spans="1:11" s="78" customFormat="1">
      <c r="A50" s="101" t="str">
        <f>$B23&amp;CHAR(10)&amp;$A$1</f>
        <v>Fishing income per kW day at sea (£)
WOS nephrops over 250kW</v>
      </c>
    </row>
    <row r="51" spans="1:11" s="78" customFormat="1">
      <c r="A51" s="101" t="str">
        <f>$B21&amp;CHAR(10)&amp;$A$1</f>
        <v>Average price per tonne landed (£)
WOS nephrops over 250kW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WOS nephrops over 250kW</v>
      </c>
      <c r="F63" s="101" t="str">
        <f>$B21&amp;CHAR(10)&amp;$A$1</f>
        <v>Average price per tonne landed (£)
WOS nephrops over 250kW</v>
      </c>
      <c r="K63" s="101" t="str">
        <f>"Average annual operating profit per vessel (£'000)"&amp;CHAR(10)&amp;$A$1</f>
        <v>Average annual operating profit per vessel (£'000)
WOS nephrops over 250kW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WOS nephrops over 250kW</v>
      </c>
      <c r="F77" s="101" t="str">
        <f>"Top 5 landed species by value in "&amp;A78&amp;CHAR(10)&amp;A1</f>
        <v>Top 5 landed species by value in 2021
WOS nephrops over 250kW</v>
      </c>
    </row>
    <row r="78" spans="1:11" s="101" customFormat="1">
      <c r="A78" s="101">
        <v>2021</v>
      </c>
      <c r="B78" s="101" t="s">
        <v>627</v>
      </c>
      <c r="C78" s="102">
        <v>0.90918816016374537</v>
      </c>
      <c r="D78" s="103">
        <v>12153634</v>
      </c>
      <c r="G78" s="101" t="s">
        <v>628</v>
      </c>
      <c r="H78" s="102">
        <v>0.95329144793613485</v>
      </c>
      <c r="I78" s="103">
        <v>12153634</v>
      </c>
      <c r="K78" s="101" t="s">
        <v>237</v>
      </c>
    </row>
    <row r="79" spans="1:11" s="101" customFormat="1">
      <c r="B79" s="101" t="s">
        <v>629</v>
      </c>
      <c r="C79" s="102">
        <v>4.6088905727083726E-2</v>
      </c>
      <c r="D79" s="103">
        <v>1692097</v>
      </c>
      <c r="G79" s="101" t="s">
        <v>630</v>
      </c>
      <c r="H79" s="102">
        <v>1.316599301119104E-2</v>
      </c>
      <c r="I79" s="103">
        <v>553960</v>
      </c>
    </row>
    <row r="80" spans="1:11" s="101" customFormat="1">
      <c r="B80" s="101" t="s">
        <v>630</v>
      </c>
      <c r="C80" s="102">
        <v>1.3124382338245266E-2</v>
      </c>
      <c r="D80" s="103">
        <v>553960</v>
      </c>
      <c r="G80" s="101" t="s">
        <v>631</v>
      </c>
      <c r="H80" s="102">
        <v>1.2451153684539777E-2</v>
      </c>
      <c r="I80" s="103">
        <v>3050596</v>
      </c>
    </row>
    <row r="81" spans="1:19" s="101" customFormat="1">
      <c r="B81" s="101" t="s">
        <v>632</v>
      </c>
      <c r="C81" s="102">
        <v>9.6622074644698765E-3</v>
      </c>
      <c r="D81" s="103">
        <v>3689192</v>
      </c>
      <c r="G81" s="101" t="s">
        <v>633</v>
      </c>
      <c r="H81" s="102">
        <v>6.8354724343532569E-3</v>
      </c>
      <c r="I81" s="103">
        <v>1692097</v>
      </c>
    </row>
    <row r="82" spans="1:19" s="101" customFormat="1">
      <c r="B82" s="101" t="s">
        <v>634</v>
      </c>
      <c r="C82" s="102">
        <v>8.1812251184804254E-3</v>
      </c>
      <c r="D82" s="103">
        <v>3050596</v>
      </c>
      <c r="G82" s="101" t="s">
        <v>635</v>
      </c>
      <c r="H82" s="102">
        <v>5.2522609743123764E-3</v>
      </c>
      <c r="I82" s="103">
        <v>3689192</v>
      </c>
    </row>
    <row r="83" spans="1:19" s="101" customFormat="1">
      <c r="B83" s="101" t="s">
        <v>636</v>
      </c>
      <c r="C83" s="102">
        <v>1.375511918797534E-2</v>
      </c>
      <c r="D83" s="103">
        <v>5920853</v>
      </c>
      <c r="G83" s="101" t="s">
        <v>637</v>
      </c>
      <c r="H83" s="102">
        <v>9.0036719594687176E-3</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0.93126832345099486</v>
      </c>
      <c r="E93" s="107">
        <v>0.91807383408086729</v>
      </c>
      <c r="F93" s="107">
        <v>0.9174952671797485</v>
      </c>
      <c r="G93" s="107">
        <v>0.90392311204561115</v>
      </c>
      <c r="H93" s="107">
        <v>0.88547830126829286</v>
      </c>
      <c r="I93" s="107">
        <v>0.91508897991877314</v>
      </c>
      <c r="J93" s="107">
        <v>0.788018738677288</v>
      </c>
      <c r="K93" s="107">
        <v>0.92326249403603688</v>
      </c>
      <c r="L93" s="107">
        <v>0.95329144793613485</v>
      </c>
      <c r="M93" s="107">
        <v>0.96706594010418545</v>
      </c>
      <c r="O93" s="101">
        <v>12153634</v>
      </c>
    </row>
    <row r="94" spans="1:19" s="101" customFormat="1" hidden="1">
      <c r="B94" s="101">
        <v>2</v>
      </c>
      <c r="C94" s="101" t="s">
        <v>161</v>
      </c>
      <c r="D94" s="107">
        <v>1.5107256187754357E-2</v>
      </c>
      <c r="E94" s="107">
        <v>1.5684346272758675E-2</v>
      </c>
      <c r="F94" s="107">
        <v>3.0322621399217063E-2</v>
      </c>
      <c r="G94" s="107">
        <v>2.9031922707148567E-2</v>
      </c>
      <c r="H94" s="107">
        <v>2.8306235373580339E-2</v>
      </c>
      <c r="I94" s="107">
        <v>3.1632530033876331E-2</v>
      </c>
      <c r="J94" s="107">
        <v>4.3742362284765843E-2</v>
      </c>
      <c r="K94" s="107">
        <v>1.6783718940734011E-2</v>
      </c>
      <c r="L94" s="107">
        <v>1.316599301119104E-2</v>
      </c>
      <c r="M94" s="107">
        <v>1.0022285762196756E-2</v>
      </c>
      <c r="O94" s="101">
        <v>553960</v>
      </c>
    </row>
    <row r="95" spans="1:19" s="101" customFormat="1" hidden="1">
      <c r="B95" s="101">
        <v>3</v>
      </c>
      <c r="C95" s="101" t="s">
        <v>181</v>
      </c>
      <c r="D95" s="107"/>
      <c r="E95" s="107">
        <v>8.671942962357633E-3</v>
      </c>
      <c r="F95" s="107"/>
      <c r="G95" s="107"/>
      <c r="H95" s="107">
        <v>1.4701678256071236E-2</v>
      </c>
      <c r="I95" s="107">
        <v>1.5907261911607871E-2</v>
      </c>
      <c r="J95" s="107">
        <v>8.5133319245226977E-2</v>
      </c>
      <c r="K95" s="107">
        <v>2.0377603200775935E-2</v>
      </c>
      <c r="L95" s="107">
        <v>1.2451153684539777E-2</v>
      </c>
      <c r="M95" s="107">
        <v>6.2489100800446461E-3</v>
      </c>
      <c r="O95" s="101">
        <v>3050596</v>
      </c>
    </row>
    <row r="96" spans="1:19" s="101" customFormat="1" hidden="1">
      <c r="B96" s="101">
        <v>4</v>
      </c>
      <c r="C96" s="101" t="s">
        <v>448</v>
      </c>
      <c r="D96" s="107">
        <v>1.8609151696166691E-2</v>
      </c>
      <c r="E96" s="107">
        <v>2.6568068637269692E-2</v>
      </c>
      <c r="F96" s="107">
        <v>1.9552337169447306E-2</v>
      </c>
      <c r="G96" s="107">
        <v>2.7197486988509961E-2</v>
      </c>
      <c r="H96" s="107">
        <v>2.0619458269673603E-2</v>
      </c>
      <c r="I96" s="107"/>
      <c r="J96" s="107">
        <v>1.4570117871962978E-2</v>
      </c>
      <c r="K96" s="107">
        <v>1.9308867870896605E-2</v>
      </c>
      <c r="L96" s="107">
        <v>6.8354724343532569E-3</v>
      </c>
      <c r="M96" s="107"/>
      <c r="O96" s="101">
        <v>1692097</v>
      </c>
    </row>
    <row r="97" spans="1:15" s="101" customFormat="1" hidden="1">
      <c r="B97" s="101">
        <v>5</v>
      </c>
      <c r="C97" s="101" t="s">
        <v>156</v>
      </c>
      <c r="D97" s="107">
        <v>1.1591821444137743E-2</v>
      </c>
      <c r="E97" s="107">
        <v>9.7292073950730786E-3</v>
      </c>
      <c r="F97" s="107">
        <v>9.0728109939999333E-3</v>
      </c>
      <c r="G97" s="107">
        <v>1.219731683637987E-2</v>
      </c>
      <c r="H97" s="107">
        <v>1.6629568993450031E-2</v>
      </c>
      <c r="I97" s="107">
        <v>1.289433313588809E-2</v>
      </c>
      <c r="J97" s="107"/>
      <c r="K97" s="107">
        <v>6.5004185286972813E-3</v>
      </c>
      <c r="L97" s="107">
        <v>5.2522609743123764E-3</v>
      </c>
      <c r="M97" s="107">
        <v>3.8072980152902849E-3</v>
      </c>
      <c r="O97" s="101">
        <v>3689192</v>
      </c>
    </row>
    <row r="98" spans="1:15" s="101" customFormat="1" hidden="1">
      <c r="B98" s="101">
        <v>6</v>
      </c>
      <c r="C98" s="101" t="s">
        <v>181</v>
      </c>
      <c r="D98" s="107"/>
      <c r="E98" s="107"/>
      <c r="F98" s="107"/>
      <c r="G98" s="107"/>
      <c r="H98" s="107"/>
      <c r="I98" s="107"/>
      <c r="J98" s="107"/>
      <c r="K98" s="107"/>
      <c r="L98" s="107"/>
      <c r="M98" s="107">
        <v>4.7726578658996727E-3</v>
      </c>
      <c r="O98" s="101">
        <v>11115023</v>
      </c>
    </row>
    <row r="99" spans="1:15" s="101" customFormat="1" hidden="1">
      <c r="B99" s="101">
        <v>7</v>
      </c>
      <c r="C99" s="101" t="s">
        <v>168</v>
      </c>
      <c r="D99" s="107"/>
      <c r="E99" s="107"/>
      <c r="F99" s="107"/>
      <c r="G99" s="107">
        <v>3.5717197866444016E-3</v>
      </c>
      <c r="H99" s="107"/>
      <c r="I99" s="107"/>
      <c r="J99" s="107">
        <v>1.2047255179036409E-2</v>
      </c>
      <c r="K99" s="107"/>
      <c r="L99" s="107"/>
      <c r="M99" s="107"/>
      <c r="O99" s="101">
        <v>2480382</v>
      </c>
    </row>
    <row r="100" spans="1:15" s="101" customFormat="1" hidden="1">
      <c r="B100" s="101">
        <v>8</v>
      </c>
      <c r="C100" s="101" t="s">
        <v>176</v>
      </c>
      <c r="D100" s="107"/>
      <c r="E100" s="107"/>
      <c r="F100" s="107">
        <v>3.7888634672335413E-3</v>
      </c>
      <c r="G100" s="107"/>
      <c r="H100" s="107"/>
      <c r="I100" s="107">
        <v>5.1791535014406075E-3</v>
      </c>
      <c r="J100" s="107"/>
      <c r="K100" s="107"/>
      <c r="L100" s="107"/>
      <c r="M100" s="107"/>
      <c r="O100" s="101">
        <v>7434864</v>
      </c>
    </row>
    <row r="101" spans="1:15" s="101" customFormat="1" hidden="1">
      <c r="B101" s="101">
        <v>9</v>
      </c>
      <c r="C101" s="101" t="s">
        <v>172</v>
      </c>
      <c r="D101" s="107">
        <v>2.9408840139693838E-3</v>
      </c>
      <c r="E101" s="107"/>
      <c r="F101" s="107"/>
      <c r="G101" s="107"/>
      <c r="H101" s="107"/>
      <c r="I101" s="107"/>
      <c r="J101" s="107"/>
      <c r="K101" s="107"/>
      <c r="L101" s="107"/>
      <c r="M101" s="107"/>
      <c r="O101" s="101">
        <v>8497745</v>
      </c>
    </row>
    <row r="102" spans="1:15" s="101" customFormat="1" hidden="1">
      <c r="B102" s="101">
        <v>10</v>
      </c>
      <c r="C102" s="101" t="s">
        <v>251</v>
      </c>
      <c r="D102" s="107">
        <v>2.0482563206976979E-2</v>
      </c>
      <c r="E102" s="107">
        <v>2.1272600651673659E-2</v>
      </c>
      <c r="F102" s="107">
        <v>1.9768099790353707E-2</v>
      </c>
      <c r="G102" s="107">
        <v>2.4078441635706025E-2</v>
      </c>
      <c r="H102" s="107">
        <v>3.4264757838931965E-2</v>
      </c>
      <c r="I102" s="107">
        <v>1.9297741498413921E-2</v>
      </c>
      <c r="J102" s="107">
        <v>5.6488206741719831E-2</v>
      </c>
      <c r="K102" s="107">
        <v>1.3766897422859227E-2</v>
      </c>
      <c r="L102" s="107">
        <v>9.003671959468643E-3</v>
      </c>
      <c r="M102" s="107">
        <v>8.0829081723832272E-3</v>
      </c>
      <c r="O102" s="101">
        <v>5920853</v>
      </c>
    </row>
    <row r="103" spans="1:15" s="101" customFormat="1" hidden="1">
      <c r="B103" s="101">
        <v>11</v>
      </c>
      <c r="D103" s="107"/>
      <c r="E103" s="107"/>
      <c r="F103" s="107"/>
      <c r="G103" s="107"/>
      <c r="H103" s="107"/>
      <c r="I103" s="107"/>
      <c r="J103" s="107"/>
      <c r="K103" s="107"/>
      <c r="L103" s="107"/>
      <c r="M103" s="107"/>
      <c r="O103" s="101">
        <v>2887140</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11</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7</v>
      </c>
      <c r="D121" s="52">
        <v>15</v>
      </c>
      <c r="E121" s="52">
        <v>7</v>
      </c>
      <c r="F121" s="53">
        <v>29</v>
      </c>
    </row>
    <row r="122" spans="1:15" ht="18" customHeight="1">
      <c r="A122" s="186" t="s">
        <v>198</v>
      </c>
      <c r="B122" s="35" t="s">
        <v>199</v>
      </c>
      <c r="C122" s="54">
        <v>17.562856674194336</v>
      </c>
      <c r="D122" s="54">
        <v>17.488000488281251</v>
      </c>
      <c r="E122" s="54">
        <v>17.668571472167969</v>
      </c>
      <c r="F122" s="55">
        <v>17.549655914306641</v>
      </c>
    </row>
    <row r="123" spans="1:15" ht="18" customHeight="1">
      <c r="A123" s="187"/>
      <c r="B123" s="37" t="s">
        <v>190</v>
      </c>
      <c r="C123" s="56">
        <v>317.14285278320313</v>
      </c>
      <c r="D123" s="56">
        <v>307.93332926432294</v>
      </c>
      <c r="E123" s="56">
        <v>318.57144165039063</v>
      </c>
      <c r="F123" s="57">
        <v>312.72415161132813</v>
      </c>
    </row>
    <row r="124" spans="1:15" ht="18" customHeight="1">
      <c r="A124" s="187"/>
      <c r="B124" s="37" t="s">
        <v>191</v>
      </c>
      <c r="C124" s="56">
        <v>97.142860412597656</v>
      </c>
      <c r="D124" s="56">
        <v>83.333334859212243</v>
      </c>
      <c r="E124" s="56">
        <v>96.857139587402344</v>
      </c>
      <c r="F124" s="57">
        <v>89.931037902832031</v>
      </c>
    </row>
    <row r="125" spans="1:15" ht="18" customHeight="1">
      <c r="A125" s="187"/>
      <c r="B125" s="37" t="s">
        <v>192</v>
      </c>
      <c r="C125" s="56">
        <v>252.58793640136719</v>
      </c>
      <c r="D125" s="56">
        <v>243.83279724121093</v>
      </c>
      <c r="E125" s="56">
        <v>247.01313781738281</v>
      </c>
      <c r="F125" s="57">
        <v>246.71377563476563</v>
      </c>
    </row>
    <row r="126" spans="1:15" ht="18" customHeight="1">
      <c r="A126" s="187"/>
      <c r="B126" s="37" t="s">
        <v>193</v>
      </c>
      <c r="C126" s="33">
        <v>184.9354248046875</v>
      </c>
      <c r="D126" s="33">
        <v>119.64693806966146</v>
      </c>
      <c r="E126" s="33">
        <v>56.783870697021484</v>
      </c>
      <c r="F126" s="58">
        <v>120.23238372802734</v>
      </c>
    </row>
    <row r="127" spans="1:15" ht="18" customHeight="1">
      <c r="A127" s="187"/>
      <c r="B127" s="37" t="s">
        <v>200</v>
      </c>
      <c r="C127" s="33">
        <f ca="1">385.97784375*OFFSET($L$113,MATCH($N$1,$C$113:$C$114,0)-1,0)</f>
        <v>385.97784374999998</v>
      </c>
      <c r="D127" s="33">
        <f ca="1">283.584229166667*OFFSET($L$113,MATCH($N$1,$C$113:$C$114,0)-1,0)</f>
        <v>283.584229166667</v>
      </c>
      <c r="E127" s="33">
        <f ca="1">135.709359375*OFFSET($L$113,MATCH($N$1,$C$113:$C$114,0)-1,0)</f>
        <v>135.70935937499999</v>
      </c>
      <c r="F127" s="58">
        <f ca="1">272.606*OFFSET($L$113,MATCH($N$1,$C$113:$C$114,0)-1,0)</f>
        <v>272.60599999999999</v>
      </c>
    </row>
    <row r="128" spans="1:15" ht="18" customHeight="1">
      <c r="A128" s="187"/>
      <c r="B128" s="37" t="s">
        <v>195</v>
      </c>
      <c r="C128" s="56">
        <v>180.28572082519531</v>
      </c>
      <c r="D128" s="56">
        <v>168.33333536783854</v>
      </c>
      <c r="E128" s="56">
        <v>116.57142639160156</v>
      </c>
      <c r="F128" s="57">
        <v>158.72413635253906</v>
      </c>
    </row>
    <row r="129" spans="1:15" ht="18" customHeight="1">
      <c r="A129" s="187"/>
      <c r="B129" s="37" t="s">
        <v>201</v>
      </c>
      <c r="C129" s="56">
        <v>36.142856597900391</v>
      </c>
      <c r="D129" s="56">
        <v>39.666667429606122</v>
      </c>
      <c r="E129" s="56">
        <v>40.857143402099609</v>
      </c>
      <c r="F129" s="57">
        <v>39.103446960449219</v>
      </c>
    </row>
    <row r="130" spans="1:15" ht="18" customHeight="1">
      <c r="A130" s="187"/>
      <c r="B130" s="37" t="s">
        <v>202</v>
      </c>
      <c r="C130" s="59">
        <v>1.0257906913757324</v>
      </c>
      <c r="D130" s="59">
        <v>0.71077388093220772</v>
      </c>
      <c r="E130" s="59">
        <v>0.48711654543876648</v>
      </c>
      <c r="F130" s="60">
        <v>0.7574927806854248</v>
      </c>
    </row>
    <row r="131" spans="1:15" ht="18" customHeight="1">
      <c r="A131" s="188"/>
      <c r="B131" s="39" t="s">
        <v>203</v>
      </c>
      <c r="C131" s="40">
        <f ca="1">2087.09523422911*OFFSET($L$113,MATCH($N$1,$C$113:$C$114,0)-1,0)</f>
        <v>2087.0952342291098</v>
      </c>
      <c r="D131" s="40">
        <f ca="1">2370.17539890203*OFFSET($L$113,MATCH($N$1,$C$113:$C$114,0)-1,0)</f>
        <v>2370.1753989020299</v>
      </c>
      <c r="E131" s="40">
        <f ca="1">2389.92794448791*OFFSET($L$113,MATCH($N$1,$C$113:$C$114,0)-1,0)</f>
        <v>2389.9279444879098</v>
      </c>
      <c r="F131" s="61">
        <f ca="1">2267*OFFSET($L$113,MATCH($N$1,$C$113:$C$114,0)-1,0)</f>
        <v>2267</v>
      </c>
    </row>
    <row r="132" spans="1:15" ht="18" customHeight="1">
      <c r="A132" s="198" t="s">
        <v>204</v>
      </c>
      <c r="B132" s="35" t="s">
        <v>205</v>
      </c>
      <c r="C132" s="62">
        <v>3.2322891690061608</v>
      </c>
      <c r="D132" s="62">
        <v>2.3344438006161345</v>
      </c>
      <c r="E132" s="62">
        <v>1.57380115507489</v>
      </c>
      <c r="F132" s="63">
        <v>2.4522328702462906</v>
      </c>
    </row>
    <row r="133" spans="1:15" ht="18" customHeight="1">
      <c r="A133" s="199"/>
      <c r="B133" s="37" t="s">
        <v>206</v>
      </c>
      <c r="C133" s="59">
        <f ca="1">6.74609532028314*OFFSET($L$113,MATCH($N$1,$C$113:$C$114,0)-1,0)</f>
        <v>6.74609532028314</v>
      </c>
      <c r="D133" s="59">
        <f ca="1">5.53304126633972*OFFSET($L$113,MATCH($N$1,$C$113:$C$114,0)-1,0)</f>
        <v>5.5330412663397199</v>
      </c>
      <c r="E133" s="59">
        <f ca="1">3.76127135958084*OFFSET($L$113,MATCH($N$1,$C$113:$C$114,0)-1,0)</f>
        <v>3.76127135958084</v>
      </c>
      <c r="F133" s="60">
        <f ca="1">5.56001114756679*OFFSET($L$113,MATCH($N$1,$C$113:$C$114,0)-1,0)</f>
        <v>5.5600111475667902</v>
      </c>
    </row>
    <row r="134" spans="1:15" ht="18" customHeight="1">
      <c r="A134" s="199"/>
      <c r="B134" s="37" t="s">
        <v>153</v>
      </c>
      <c r="C134" s="59">
        <f ca="1">5.81461715131521*OFFSET($L$113,MATCH($N$1,$C$113:$C$114,0)-1,0)</f>
        <v>5.8146171513152103</v>
      </c>
      <c r="D134" s="59">
        <f ca="1">5.26503617861623*OFFSET($L$113,MATCH($N$1,$C$113:$C$114,0)-1,0)</f>
        <v>5.2650361786162296</v>
      </c>
      <c r="E134" s="59">
        <f ca="1">3.82290749240283*OFFSET($L$113,MATCH($N$1,$C$113:$C$114,0)-1,0)</f>
        <v>3.8229074924028299</v>
      </c>
      <c r="F134" s="60">
        <f ca="1">5.16367547195907*OFFSET($L$113,MATCH($N$1,$C$113:$C$114,0)-1,0)</f>
        <v>5.1636754719590696</v>
      </c>
    </row>
    <row r="135" spans="1:15" ht="18" customHeight="1">
      <c r="A135" s="200"/>
      <c r="B135" s="39" t="s">
        <v>154</v>
      </c>
      <c r="C135" s="64">
        <f ca="1">0.931478168967928*OFFSET($L$113,MATCH($N$1,$C$113:$C$114,0)-1,0)</f>
        <v>0.93147816896792801</v>
      </c>
      <c r="D135" s="64">
        <f ca="1">0.268005087723497*OFFSET($L$113,MATCH($N$1,$C$113:$C$114,0)-1,0)</f>
        <v>0.26800508772349702</v>
      </c>
      <c r="E135" s="64">
        <f ca="1">-0.0616361328219943*OFFSET($L$113,MATCH($N$1,$C$113:$C$114,0)-1,0)</f>
        <v>-6.1636132821994302E-2</v>
      </c>
      <c r="F135" s="65">
        <f ca="1">0.396335675607718*OFFSET($L$113,MATCH($N$1,$C$113:$C$114,0)-1,0)</f>
        <v>0.39633567560771799</v>
      </c>
    </row>
    <row r="136" spans="1:15" ht="18" customHeight="1">
      <c r="A136" s="201" t="s">
        <v>260</v>
      </c>
      <c r="B136" s="37" t="s">
        <v>261</v>
      </c>
      <c r="C136" s="66">
        <f ca="1">65.93696875*OFFSET($L$113,MATCH($N$1,$C$113:$C$114,0)-1,0)</f>
        <v>65.936968750000005</v>
      </c>
      <c r="D136" s="66">
        <f ca="1">64.5333106770833*OFFSET($L$113,MATCH($N$1,$C$113:$C$114,0)-1,0)</f>
        <v>64.533310677083307</v>
      </c>
      <c r="E136" s="66">
        <f ca="1">39.679703125*OFFSET($L$113,MATCH($N$1,$C$113:$C$114,0)-1,0)</f>
        <v>39.679703125000003</v>
      </c>
      <c r="F136" s="67">
        <f ca="1">58.8729765625*OFFSET($L$113,MATCH($N$1,$C$113:$C$114,0)-1,0)</f>
        <v>58.8729765625</v>
      </c>
    </row>
    <row r="137" spans="1:15" ht="18" customHeight="1">
      <c r="A137" s="202"/>
      <c r="B137" s="37" t="s">
        <v>262</v>
      </c>
      <c r="C137" s="31">
        <v>139657.14963189326</v>
      </c>
      <c r="D137" s="31">
        <v>134666.66829427084</v>
      </c>
      <c r="E137" s="31">
        <v>85714.285367052071</v>
      </c>
      <c r="F137" s="68">
        <v>124055.1724137931</v>
      </c>
    </row>
    <row r="138" spans="1:15" ht="18" customHeight="1">
      <c r="A138" s="202"/>
      <c r="B138" s="37" t="s">
        <v>263</v>
      </c>
      <c r="C138" s="31">
        <v>774.6434326171875</v>
      </c>
      <c r="D138" s="31">
        <v>800</v>
      </c>
      <c r="E138" s="31">
        <v>735.29412841796875</v>
      </c>
      <c r="F138" s="68">
        <v>781.57720947265625</v>
      </c>
    </row>
    <row r="139" spans="1:15" ht="18" customHeight="1">
      <c r="A139" s="202"/>
      <c r="B139" s="37" t="s">
        <v>264</v>
      </c>
      <c r="C139" s="31">
        <f ca="1">365.73594651976*OFFSET($L$113,MATCH($N$1,$C$113:$C$114,0)-1,0)</f>
        <v>365.73594651975998</v>
      </c>
      <c r="D139" s="31">
        <f ca="1">383.36619740865*OFFSET($L$113,MATCH($N$1,$C$113:$C$114,0)-1,0)</f>
        <v>383.36619740865001</v>
      </c>
      <c r="E139" s="31">
        <f ca="1">340.389616506046*OFFSET($L$113,MATCH($N$1,$C$113:$C$114,0)-1,0)</f>
        <v>340.38961650604602</v>
      </c>
      <c r="F139" s="68">
        <f ca="1">370.913825177403*OFFSET($L$113,MATCH($N$1,$C$113:$C$114,0)-1,0)</f>
        <v>370.913825177403</v>
      </c>
      <c r="I139" s="43"/>
      <c r="L139" s="69" t="str">
        <f>C120</f>
        <v>Most
profitable
quartile</v>
      </c>
      <c r="M139" s="69" t="str">
        <f>D120</f>
        <v>Middle
two quartiles</v>
      </c>
      <c r="N139" s="69" t="str">
        <f>E120</f>
        <v>Least
profitable
quartile</v>
      </c>
      <c r="O139" s="69"/>
    </row>
    <row r="140" spans="1:15" ht="18" customHeight="1">
      <c r="A140" s="202"/>
      <c r="B140" s="37" t="s">
        <v>265</v>
      </c>
      <c r="C140" s="31">
        <f ca="1">356.540499580526*OFFSET($L$113,MATCH($N$1,$C$113:$C$114,0)-1,0)</f>
        <v>356.54049958052599</v>
      </c>
      <c r="D140" s="31">
        <f ca="1">539.364497898897*OFFSET($L$113,MATCH($N$1,$C$113:$C$114,0)-1,0)</f>
        <v>539.36449789889696</v>
      </c>
      <c r="E140" s="31">
        <f ca="1">698.784754155221*OFFSET($L$113,MATCH($N$1,$C$113:$C$114,0)-1,0)</f>
        <v>698.78475415522098</v>
      </c>
      <c r="F140" s="68">
        <f ca="1">489.659896419205*OFFSET($L$113,MATCH($N$1,$C$113:$C$114,0)-1,0)</f>
        <v>489.65989641920498</v>
      </c>
      <c r="I140" s="43"/>
      <c r="K140" s="69" t="s">
        <v>266</v>
      </c>
      <c r="L140" s="70">
        <f t="shared" ref="L140:M142" ca="1" si="2">C141</f>
        <v>424.14596875000001</v>
      </c>
      <c r="M140" s="70">
        <f t="shared" ca="1" si="2"/>
        <v>302.29497708333298</v>
      </c>
      <c r="N140" s="70">
        <f ca="1">E141</f>
        <v>144.66339062500001</v>
      </c>
      <c r="O140" s="70"/>
    </row>
    <row r="141" spans="1:15" ht="18" customHeight="1">
      <c r="A141" s="179" t="s">
        <v>267</v>
      </c>
      <c r="B141" s="35" t="s">
        <v>268</v>
      </c>
      <c r="C141" s="71">
        <f ca="1">424.14596875*OFFSET($L$113,MATCH($N$1,$C$113:$C$114,0)-1,0)</f>
        <v>424.14596875000001</v>
      </c>
      <c r="D141" s="71">
        <f ca="1">302.294977083333*OFFSET($L$113,MATCH($N$1,$C$113:$C$114,0)-1,0)</f>
        <v>302.29497708333298</v>
      </c>
      <c r="E141" s="71">
        <f ca="1">144.663390625*OFFSET($L$113,MATCH($N$1,$C$113:$C$114,0)-1,0)</f>
        <v>144.66339062500001</v>
      </c>
      <c r="F141" s="72">
        <f ca="1">293.65828125*OFFSET($L$113,MATCH($N$1,$C$113:$C$114,0)-1,0)</f>
        <v>293.65828125000002</v>
      </c>
      <c r="I141" s="43"/>
      <c r="K141" s="69" t="s">
        <v>269</v>
      </c>
      <c r="L141" s="70">
        <f t="shared" ca="1" si="2"/>
        <v>370.85143749999997</v>
      </c>
      <c r="M141" s="70">
        <f t="shared" ca="1" si="2"/>
        <v>288.55894791666702</v>
      </c>
      <c r="N141" s="70">
        <f ca="1">E142</f>
        <v>146.887265625</v>
      </c>
      <c r="O141" s="70"/>
    </row>
    <row r="142" spans="1:15" ht="18" customHeight="1">
      <c r="A142" s="180"/>
      <c r="B142" s="37" t="s">
        <v>270</v>
      </c>
      <c r="C142" s="31">
        <f ca="1">370.8514375*OFFSET($L$113,MATCH($N$1,$C$113:$C$114,0)-1,0)</f>
        <v>370.85143749999997</v>
      </c>
      <c r="D142" s="31">
        <f ca="1">288.558947916667*OFFSET($L$113,MATCH($N$1,$C$113:$C$114,0)-1,0)</f>
        <v>288.55894791666702</v>
      </c>
      <c r="E142" s="31">
        <f ca="1">146.887265625*OFFSET($L$113,MATCH($N$1,$C$113:$C$114,0)-1,0)</f>
        <v>146.887265625</v>
      </c>
      <c r="F142" s="68">
        <f ca="1">274.22603125*OFFSET($L$113,MATCH($N$1,$C$113:$C$114,0)-1,0)</f>
        <v>274.22603125000001</v>
      </c>
      <c r="I142" s="43"/>
      <c r="K142" s="69" t="s">
        <v>271</v>
      </c>
      <c r="L142" s="70">
        <f t="shared" ca="1" si="2"/>
        <v>53.294531249999999</v>
      </c>
      <c r="M142" s="70">
        <f t="shared" ca="1" si="2"/>
        <v>13.7360291666667</v>
      </c>
      <c r="N142" s="70">
        <f ca="1">E143</f>
        <v>-2.223875</v>
      </c>
      <c r="O142" s="70"/>
    </row>
    <row r="143" spans="1:15" ht="18" customHeight="1">
      <c r="A143" s="181"/>
      <c r="B143" s="39" t="s">
        <v>272</v>
      </c>
      <c r="C143" s="40">
        <f ca="1">53.29453125*OFFSET($L$113,MATCH($N$1,$C$113:$C$114,0)-1,0)</f>
        <v>53.294531249999999</v>
      </c>
      <c r="D143" s="40">
        <f ca="1">13.7360291666667*OFFSET($L$113,MATCH($N$1,$C$113:$C$114,0)-1,0)</f>
        <v>13.7360291666667</v>
      </c>
      <c r="E143" s="40">
        <f ca="1">-2.223875*OFFSET($L$113,MATCH($N$1,$C$113:$C$114,0)-1,0)</f>
        <v>-2.223875</v>
      </c>
      <c r="F143" s="61">
        <f ca="1">19.4322421875*OFFSET($L$113,MATCH($N$1,$C$113:$C$114,0)-1,0)</f>
        <v>19.432242187500002</v>
      </c>
      <c r="I143" s="43"/>
      <c r="K143" s="69" t="s">
        <v>273</v>
      </c>
      <c r="L143" s="73">
        <f ca="1">IFERROR(L141/L$140,"")</f>
        <v>0.8743486083174048</v>
      </c>
      <c r="M143" s="73">
        <f t="shared" ref="M143:N144" ca="1" si="3">IFERROR(M141/M$140,"")</f>
        <v>0.95456084219725768</v>
      </c>
      <c r="N143" s="73">
        <f t="shared" ca="1" si="3"/>
        <v>1.0153727559570671</v>
      </c>
      <c r="O143" s="73"/>
    </row>
    <row r="144" spans="1:15" ht="18" customHeight="1">
      <c r="I144" s="43"/>
      <c r="K144" s="69" t="s">
        <v>274</v>
      </c>
      <c r="L144" s="73">
        <f ca="1">IFERROR(L142/L$140,"")</f>
        <v>0.12565139168259512</v>
      </c>
      <c r="M144" s="73">
        <f t="shared" ca="1" si="3"/>
        <v>4.543915780274483E-2</v>
      </c>
      <c r="N144" s="73">
        <f t="shared" ca="1" si="3"/>
        <v>-1.5372755957067144E-2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10</v>
      </c>
      <c r="B162" s="48"/>
      <c r="C162" s="74" t="s">
        <v>255</v>
      </c>
      <c r="D162" s="74" t="s">
        <v>276</v>
      </c>
      <c r="E162" s="74" t="s">
        <v>257</v>
      </c>
      <c r="F162" s="74" t="s">
        <v>277</v>
      </c>
      <c r="G162" s="75">
        <v>10</v>
      </c>
      <c r="H162" s="74"/>
      <c r="I162" s="74" t="s">
        <v>255</v>
      </c>
      <c r="J162" s="74" t="s">
        <v>276</v>
      </c>
      <c r="K162" s="74" t="s">
        <v>257</v>
      </c>
      <c r="L162" s="48" t="s">
        <v>277</v>
      </c>
      <c r="R162" s="21"/>
      <c r="S162" s="21"/>
    </row>
    <row r="163" spans="1:19" s="43" customFormat="1">
      <c r="A163" s="44">
        <v>1</v>
      </c>
      <c r="B163" s="48" t="s">
        <v>159</v>
      </c>
      <c r="C163" s="48">
        <v>0.82027568857787647</v>
      </c>
      <c r="D163" s="48">
        <v>0.96962585040283422</v>
      </c>
      <c r="E163" s="48">
        <v>0.92994971077225641</v>
      </c>
      <c r="F163" s="44">
        <v>12153634</v>
      </c>
      <c r="G163" s="44">
        <v>1</v>
      </c>
      <c r="H163" s="48" t="s">
        <v>159</v>
      </c>
      <c r="I163" s="48">
        <v>0.91182395596545951</v>
      </c>
      <c r="J163" s="48">
        <v>0.98013605120947989</v>
      </c>
      <c r="K163" s="48">
        <v>0.95491377950180822</v>
      </c>
      <c r="L163" s="44">
        <v>12153634</v>
      </c>
      <c r="R163" s="21"/>
      <c r="S163" s="21"/>
    </row>
    <row r="164" spans="1:19" s="43" customFormat="1">
      <c r="A164" s="44">
        <v>2</v>
      </c>
      <c r="B164" s="48" t="s">
        <v>161</v>
      </c>
      <c r="C164" s="48">
        <v>1.0312402875424908E-2</v>
      </c>
      <c r="D164" s="48">
        <v>1.1654488010764467E-2</v>
      </c>
      <c r="E164" s="48">
        <v>2.8968237904646477E-2</v>
      </c>
      <c r="F164" s="44">
        <v>553960</v>
      </c>
      <c r="G164" s="44">
        <v>2</v>
      </c>
      <c r="H164" s="48" t="s">
        <v>161</v>
      </c>
      <c r="I164" s="48">
        <v>1.2975805290624875E-2</v>
      </c>
      <c r="J164" s="48">
        <v>1.1074404987451594E-2</v>
      </c>
      <c r="K164" s="48">
        <v>2.3116571665072052E-2</v>
      </c>
      <c r="L164" s="44">
        <v>553960</v>
      </c>
      <c r="N164" s="43" t="s">
        <v>278</v>
      </c>
      <c r="R164" s="21"/>
      <c r="S164" s="21"/>
    </row>
    <row r="165" spans="1:19" s="43" customFormat="1">
      <c r="A165" s="44">
        <v>3</v>
      </c>
      <c r="B165" s="48" t="s">
        <v>250</v>
      </c>
      <c r="C165" s="48">
        <v>0</v>
      </c>
      <c r="D165" s="48">
        <v>6.4125926085109248E-3</v>
      </c>
      <c r="E165" s="48">
        <v>0</v>
      </c>
      <c r="F165" s="44">
        <v>11115023</v>
      </c>
      <c r="G165" s="44">
        <v>3</v>
      </c>
      <c r="H165" s="48" t="s">
        <v>156</v>
      </c>
      <c r="I165" s="48">
        <v>8.2496665670613954E-3</v>
      </c>
      <c r="J165" s="48">
        <v>2.6155888622487631E-3</v>
      </c>
      <c r="K165" s="48">
        <v>8.5440769610750436E-3</v>
      </c>
      <c r="L165" s="44">
        <v>3689192</v>
      </c>
      <c r="N165" s="43" t="s">
        <v>279</v>
      </c>
      <c r="R165" s="21"/>
      <c r="S165" s="21"/>
    </row>
    <row r="166" spans="1:19" s="43" customFormat="1">
      <c r="A166" s="44">
        <v>4</v>
      </c>
      <c r="B166" s="48" t="s">
        <v>156</v>
      </c>
      <c r="C166" s="48">
        <v>1.1880903618286464E-2</v>
      </c>
      <c r="D166" s="48">
        <v>5.9833759916019975E-3</v>
      </c>
      <c r="E166" s="48">
        <v>1.907181327403441E-2</v>
      </c>
      <c r="F166" s="44">
        <v>3689192</v>
      </c>
      <c r="G166" s="44">
        <v>4</v>
      </c>
      <c r="H166" s="48" t="s">
        <v>250</v>
      </c>
      <c r="I166" s="48">
        <v>0</v>
      </c>
      <c r="J166" s="48">
        <v>2.3864482321417375E-3</v>
      </c>
      <c r="K166" s="48">
        <v>0</v>
      </c>
      <c r="L166" s="44">
        <v>11115023</v>
      </c>
      <c r="R166" s="21"/>
      <c r="S166" s="21"/>
    </row>
    <row r="167" spans="1:19" s="43" customFormat="1">
      <c r="A167" s="44">
        <v>5</v>
      </c>
      <c r="B167" s="48" t="s">
        <v>165</v>
      </c>
      <c r="C167" s="48">
        <v>0</v>
      </c>
      <c r="D167" s="48">
        <v>1.5815088257689612E-3</v>
      </c>
      <c r="E167" s="48">
        <v>2.8823577007409756E-3</v>
      </c>
      <c r="F167" s="44">
        <v>2480382</v>
      </c>
      <c r="G167" s="44">
        <v>5</v>
      </c>
      <c r="H167" s="48" t="s">
        <v>321</v>
      </c>
      <c r="I167" s="48">
        <v>0</v>
      </c>
      <c r="J167" s="48">
        <v>8.3381847385534001E-4</v>
      </c>
      <c r="K167" s="48">
        <v>6.5727336628186193E-3</v>
      </c>
      <c r="L167" s="44">
        <v>7434864</v>
      </c>
      <c r="R167" s="21"/>
      <c r="S167" s="21"/>
    </row>
    <row r="168" spans="1:19" s="43" customFormat="1">
      <c r="A168" s="44">
        <v>6</v>
      </c>
      <c r="B168" s="48" t="s">
        <v>321</v>
      </c>
      <c r="C168" s="48">
        <v>0</v>
      </c>
      <c r="D168" s="48">
        <v>0</v>
      </c>
      <c r="E168" s="48">
        <v>7.3627547791887465E-3</v>
      </c>
      <c r="F168" s="44">
        <v>7434864</v>
      </c>
      <c r="G168" s="44">
        <v>6</v>
      </c>
      <c r="H168" s="48" t="s">
        <v>168</v>
      </c>
      <c r="I168" s="48">
        <v>0</v>
      </c>
      <c r="J168" s="48">
        <v>0</v>
      </c>
      <c r="K168" s="48">
        <v>1.3128542444182385E-3</v>
      </c>
      <c r="L168" s="44">
        <v>8497745</v>
      </c>
      <c r="R168" s="21"/>
      <c r="S168" s="21"/>
    </row>
    <row r="169" spans="1:19" s="43" customFormat="1">
      <c r="A169" s="44">
        <v>7</v>
      </c>
      <c r="B169" s="48" t="s">
        <v>448</v>
      </c>
      <c r="C169" s="48">
        <v>0.12413599203842512</v>
      </c>
      <c r="D169" s="48">
        <v>0</v>
      </c>
      <c r="E169" s="48">
        <v>0</v>
      </c>
      <c r="F169" s="44">
        <v>1692097</v>
      </c>
      <c r="G169" s="44">
        <v>7</v>
      </c>
      <c r="H169" s="48" t="s">
        <v>181</v>
      </c>
      <c r="I169" s="48">
        <v>3.5490351837386636E-2</v>
      </c>
      <c r="J169" s="48">
        <v>0</v>
      </c>
      <c r="K169" s="48">
        <v>0</v>
      </c>
      <c r="L169" s="44">
        <v>3050596</v>
      </c>
      <c r="R169" s="21"/>
      <c r="S169" s="21"/>
    </row>
    <row r="170" spans="1:19" s="43" customFormat="1">
      <c r="A170" s="44">
        <v>8</v>
      </c>
      <c r="B170" s="48" t="s">
        <v>181</v>
      </c>
      <c r="C170" s="48">
        <v>2.1551769355159772E-2</v>
      </c>
      <c r="D170" s="48">
        <v>0</v>
      </c>
      <c r="E170" s="48">
        <v>0</v>
      </c>
      <c r="F170" s="44">
        <v>3050596</v>
      </c>
      <c r="G170" s="44">
        <v>8</v>
      </c>
      <c r="H170" s="48" t="s">
        <v>448</v>
      </c>
      <c r="I170" s="48">
        <v>2.0000530925589028E-2</v>
      </c>
      <c r="J170" s="48">
        <v>0</v>
      </c>
      <c r="K170" s="48">
        <v>0</v>
      </c>
      <c r="L170" s="44">
        <v>1692097</v>
      </c>
      <c r="R170" s="21"/>
      <c r="S170" s="21"/>
    </row>
    <row r="171" spans="1:19" s="43" customFormat="1">
      <c r="A171" s="44">
        <v>9</v>
      </c>
      <c r="B171" s="48" t="s">
        <v>251</v>
      </c>
      <c r="C171" s="48">
        <v>1.1843243534827241E-2</v>
      </c>
      <c r="D171" s="48">
        <v>4.7421841605194137E-3</v>
      </c>
      <c r="E171" s="48">
        <v>1.1765125569133006E-2</v>
      </c>
      <c r="F171" s="44">
        <v>5920853</v>
      </c>
      <c r="G171" s="44">
        <v>9</v>
      </c>
      <c r="H171" s="48" t="s">
        <v>251</v>
      </c>
      <c r="I171" s="48">
        <v>1.1459689413878538E-2</v>
      </c>
      <c r="J171" s="48">
        <v>2.9536882348226712E-3</v>
      </c>
      <c r="K171" s="48">
        <v>5.5399839648077043E-3</v>
      </c>
      <c r="L171" s="44">
        <v>5920853</v>
      </c>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076F1BC9-B949-47F7-A369-FE864A54A69F}">
      <formula1>$C$113:$C$114</formula1>
    </dataValidation>
  </dataValidations>
  <hyperlinks>
    <hyperlink ref="O1:P1" location="Home_page" display="Back to home page" xr:uid="{50888998-A6F8-448E-8A75-676860038D8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A77DE277-B28A-4FE5-B84A-3AC8539ACDC5}">
          <x14:colorSeries rgb="FF323232"/>
          <x14:colorNegative rgb="FFD00000"/>
          <x14:colorAxis rgb="FF000000"/>
          <x14:colorMarkers rgb="FFD00000"/>
          <x14:colorFirst rgb="FFD00000"/>
          <x14:colorLast rgb="FFD00000"/>
          <x14:colorHigh rgb="FFD00000"/>
          <x14:colorLow rgb="FFD00000"/>
          <x14:sparklines>
            <x14:sparkline>
              <xm:f>'WOS nephrops over 250kW'!D3:N3</xm:f>
              <xm:sqref>C3</xm:sqref>
            </x14:sparkline>
            <x14:sparkline>
              <xm:f>'WOS nephrops over 250kW'!D4:N4</xm:f>
              <xm:sqref>C4</xm:sqref>
            </x14:sparkline>
            <x14:sparkline>
              <xm:f>'WOS nephrops over 250kW'!D5:N5</xm:f>
              <xm:sqref>C5</xm:sqref>
            </x14:sparkline>
            <x14:sparkline>
              <xm:f>'WOS nephrops over 250kW'!D6:N6</xm:f>
              <xm:sqref>C6</xm:sqref>
            </x14:sparkline>
            <x14:sparkline>
              <xm:f>'WOS nephrops over 250kW'!D7:N7</xm:f>
              <xm:sqref>C7</xm:sqref>
            </x14:sparkline>
            <x14:sparkline>
              <xm:f>'WOS nephrops over 250kW'!D8:N8</xm:f>
              <xm:sqref>C8</xm:sqref>
            </x14:sparkline>
            <x14:sparkline>
              <xm:f>'WOS nephrops over 250kW'!D9:N9</xm:f>
              <xm:sqref>C9</xm:sqref>
            </x14:sparkline>
            <x14:sparkline>
              <xm:f>'WOS nephrops over 250kW'!D10:N10</xm:f>
              <xm:sqref>C10</xm:sqref>
            </x14:sparkline>
            <x14:sparkline>
              <xm:f>'WOS nephrops over 250kW'!D11:N11</xm:f>
              <xm:sqref>C11</xm:sqref>
            </x14:sparkline>
            <x14:sparkline>
              <xm:f>'WOS nephrops over 250kW'!D12:N12</xm:f>
              <xm:sqref>C12</xm:sqref>
            </x14:sparkline>
            <x14:sparkline>
              <xm:f>'WOS nephrops over 250kW'!D13:N13</xm:f>
              <xm:sqref>C13</xm:sqref>
            </x14:sparkline>
            <x14:sparkline>
              <xm:f>'WOS nephrops over 250kW'!D14:N14</xm:f>
              <xm:sqref>C14</xm:sqref>
            </x14:sparkline>
            <x14:sparkline>
              <xm:f>'WOS nephrops over 250kW'!D15:N15</xm:f>
              <xm:sqref>C15</xm:sqref>
            </x14:sparkline>
            <x14:sparkline>
              <xm:f>'WOS nephrops over 250kW'!D16:N16</xm:f>
              <xm:sqref>C16</xm:sqref>
            </x14:sparkline>
            <x14:sparkline>
              <xm:f>'WOS nephrops over 250kW'!D17:N17</xm:f>
              <xm:sqref>C17</xm:sqref>
            </x14:sparkline>
            <x14:sparkline>
              <xm:f>'WOS nephrops over 250kW'!D18:N18</xm:f>
              <xm:sqref>C18</xm:sqref>
            </x14:sparkline>
            <x14:sparkline>
              <xm:f>'WOS nephrops over 250kW'!D19:N19</xm:f>
              <xm:sqref>C19</xm:sqref>
            </x14:sparkline>
            <x14:sparkline>
              <xm:f>'WOS nephrops over 250kW'!D20:N20</xm:f>
              <xm:sqref>C20</xm:sqref>
            </x14:sparkline>
            <x14:sparkline>
              <xm:f>'WOS nephrops over 250kW'!D21:N21</xm:f>
              <xm:sqref>C21</xm:sqref>
            </x14:sparkline>
            <x14:sparkline>
              <xm:f>'WOS nephrops over 250kW'!D22:N22</xm:f>
              <xm:sqref>C22</xm:sqref>
            </x14:sparkline>
            <x14:sparkline>
              <xm:f>'WOS nephrops over 250kW'!D23:N23</xm:f>
              <xm:sqref>C23</xm:sqref>
            </x14:sparkline>
            <x14:sparkline>
              <xm:f>'WOS nephrops over 250kW'!D24:N24</xm:f>
              <xm:sqref>C24</xm:sqref>
            </x14:sparkline>
            <x14:sparkline>
              <xm:f>'WOS nephrops over 250kW'!D25:N25</xm:f>
              <xm:sqref>C25</xm:sqref>
            </x14:sparkline>
            <x14:sparkline>
              <xm:f>'WOS nephrops over 250kW'!D26:N26</xm:f>
              <xm:sqref>C26</xm:sqref>
            </x14:sparkline>
            <x14:sparkline>
              <xm:f>'WOS nephrops over 250kW'!D27:N27</xm:f>
              <xm:sqref>C27</xm:sqref>
            </x14:sparkline>
            <x14:sparkline>
              <xm:f>'WOS nephrops over 250kW'!D28:N28</xm:f>
              <xm:sqref>C28</xm:sqref>
            </x14:sparkline>
            <x14:sparkline>
              <xm:f>'WOS nephrops over 250kW'!D29:N29</xm:f>
              <xm:sqref>C29</xm:sqref>
            </x14:sparkline>
            <x14:sparkline>
              <xm:f>'WOS nephrops over 250kW'!D30:N30</xm:f>
              <xm:sqref>C30</xm:sqref>
            </x14:sparkline>
            <x14:sparkline>
              <xm:f>'WOS nephrops over 250kW'!D31:N31</xm:f>
              <xm:sqref>C31</xm:sqref>
            </x14:sparkline>
            <x14:sparkline>
              <xm:f>'WOS nephrops over 250kW'!D32:N32</xm:f>
              <xm:sqref>C32</xm:sqref>
            </x14:sparkline>
            <x14:sparkline>
              <xm:f>'WOS nephrops over 250kW'!D33:N33</xm:f>
              <xm:sqref>C33</xm:sqref>
            </x14:sparkline>
            <x14:sparkline>
              <xm:f>'WOS nephrops over 250kW'!D34:N34</xm:f>
              <xm:sqref>C34</xm:sqref>
            </x14:sparkline>
            <x14:sparkline>
              <xm:f>'WOS nephrops over 250kW'!D35:N35</xm:f>
              <xm:sqref>C35</xm:sqref>
            </x14:sparkline>
            <x14:sparkline>
              <xm:f>'WOS nephrops over 250kW'!D36:N36</xm:f>
              <xm:sqref>C36</xm:sqref>
            </x14:sparkline>
            <x14:sparkline>
              <xm:f>'WOS nephrops over 250kW'!D37:N37</xm:f>
              <xm:sqref>C37</xm:sqref>
            </x14:sparkline>
            <x14:sparkline>
              <xm:f>'WOS nephrops over 250kW'!D38:N38</xm:f>
              <xm:sqref>C38</xm:sqref>
            </x14:sparkline>
            <x14:sparkline>
              <xm:f>'WOS nephrops over 250kW'!D39:N39</xm:f>
              <xm:sqref>C39</xm:sqref>
            </x14:sparkline>
            <x14:sparkline>
              <xm:f>'WOS nephrops over 250kW'!D40:N40</xm:f>
              <xm:sqref>C40</xm:sqref>
            </x14:sparkline>
            <x14:sparkline>
              <xm:f>'WOS nephrops over 250kW'!D41:N41</xm:f>
              <xm:sqref>C41</xm:sqref>
            </x14:sparkline>
            <x14:sparkline>
              <xm:f>'WOS nephrops over 250kW'!D42:N42</xm:f>
              <xm:sqref>C42</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C3BF2-F26F-4783-A9F7-1C477BA64571}">
  <sheetPr codeName="Feuil38">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39</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99</v>
      </c>
      <c r="E3" s="28">
        <v>96</v>
      </c>
      <c r="F3" s="28">
        <v>90</v>
      </c>
      <c r="G3" s="28">
        <v>89</v>
      </c>
      <c r="H3" s="28">
        <v>81</v>
      </c>
      <c r="I3" s="28">
        <v>74</v>
      </c>
      <c r="J3" s="28">
        <v>61</v>
      </c>
      <c r="K3" s="28">
        <v>60</v>
      </c>
      <c r="L3" s="28">
        <v>53</v>
      </c>
      <c r="M3" s="28">
        <v>55</v>
      </c>
      <c r="N3" s="28">
        <v>51</v>
      </c>
      <c r="O3" s="29">
        <f t="shared" ref="O3:O42" si="0">IF(N3=0,"",IFERROR(IF(AND(N3&gt;0,D3&lt;0),"na",IF(AND(N3&lt;0,D3&lt;0),-1,1)*(N3-D3)/D3),""))</f>
        <v>-0.48484848484848486</v>
      </c>
      <c r="P3" s="29">
        <f t="shared" ref="P3:P42" si="1">IF(N3=0,"",IFERROR(IF(AND(N3&gt;0,J3&lt;0),"na",IF(AND(N3&lt;0,J3&lt;0),-1,1)*(N3-J3)/J3),""))</f>
        <v>-0.16393442622950818</v>
      </c>
    </row>
    <row r="4" spans="1:17" ht="18" customHeight="1">
      <c r="A4" s="185"/>
      <c r="B4" s="30" t="s">
        <v>190</v>
      </c>
      <c r="C4" s="31"/>
      <c r="D4" s="31">
        <v>15851</v>
      </c>
      <c r="E4" s="31">
        <v>15656</v>
      </c>
      <c r="F4" s="31">
        <v>14714</v>
      </c>
      <c r="G4" s="31">
        <v>14387</v>
      </c>
      <c r="H4" s="31">
        <v>13405</v>
      </c>
      <c r="I4" s="31">
        <v>12232</v>
      </c>
      <c r="J4" s="31">
        <v>9966</v>
      </c>
      <c r="K4" s="31">
        <v>10395</v>
      </c>
      <c r="L4" s="31">
        <v>9099</v>
      </c>
      <c r="M4" s="31">
        <v>9655</v>
      </c>
      <c r="N4" s="31">
        <v>8926</v>
      </c>
      <c r="O4" s="29">
        <f t="shared" si="0"/>
        <v>-0.43688095388303577</v>
      </c>
      <c r="P4" s="29">
        <f t="shared" si="1"/>
        <v>-0.10435480634156132</v>
      </c>
    </row>
    <row r="5" spans="1:17" ht="18" customHeight="1">
      <c r="A5" s="185"/>
      <c r="B5" s="30" t="s">
        <v>191</v>
      </c>
      <c r="C5" s="31"/>
      <c r="D5" s="31">
        <v>3679</v>
      </c>
      <c r="E5" s="31">
        <v>3684</v>
      </c>
      <c r="F5" s="31">
        <v>3453</v>
      </c>
      <c r="G5" s="31">
        <v>3275</v>
      </c>
      <c r="H5" s="31">
        <v>3045</v>
      </c>
      <c r="I5" s="31">
        <v>2943</v>
      </c>
      <c r="J5" s="31">
        <v>2344</v>
      </c>
      <c r="K5" s="31">
        <v>2580</v>
      </c>
      <c r="L5" s="31">
        <v>2126</v>
      </c>
      <c r="M5" s="31">
        <v>2252</v>
      </c>
      <c r="N5" s="31">
        <v>1962</v>
      </c>
      <c r="O5" s="29">
        <f t="shared" si="0"/>
        <v>-0.46670290839902145</v>
      </c>
      <c r="P5" s="29">
        <f t="shared" si="1"/>
        <v>-0.16296928327645052</v>
      </c>
      <c r="Q5" s="32"/>
    </row>
    <row r="6" spans="1:17" ht="18" customHeight="1">
      <c r="A6" s="185"/>
      <c r="B6" s="30" t="s">
        <v>192</v>
      </c>
      <c r="C6" s="31"/>
      <c r="D6" s="31">
        <v>14577.142578125</v>
      </c>
      <c r="E6" s="31">
        <v>14395.8583984375</v>
      </c>
      <c r="F6" s="31">
        <v>13581.5751953125</v>
      </c>
      <c r="G6" s="31">
        <v>13226.0654296875</v>
      </c>
      <c r="H6" s="31">
        <v>12171.146484375</v>
      </c>
      <c r="I6" s="31">
        <v>11386.3291015625</v>
      </c>
      <c r="J6" s="31">
        <v>9201.818359375</v>
      </c>
      <c r="K6" s="31">
        <v>9623.94140625</v>
      </c>
      <c r="L6" s="31">
        <v>8316.666015625</v>
      </c>
      <c r="M6" s="31">
        <v>8766.5712890625</v>
      </c>
      <c r="N6" s="31">
        <v>7947.77783203125</v>
      </c>
      <c r="O6" s="29">
        <f t="shared" si="0"/>
        <v>-0.4547780685113158</v>
      </c>
      <c r="P6" s="29">
        <f t="shared" si="1"/>
        <v>-0.13628181717650489</v>
      </c>
    </row>
    <row r="7" spans="1:17" ht="18" customHeight="1">
      <c r="A7" s="185"/>
      <c r="B7" s="30" t="s">
        <v>193</v>
      </c>
      <c r="C7" s="31"/>
      <c r="D7" s="31">
        <v>6578.23876953125</v>
      </c>
      <c r="E7" s="31">
        <v>6387.63916015625</v>
      </c>
      <c r="F7" s="31">
        <v>5590.63720703125</v>
      </c>
      <c r="G7" s="31">
        <v>4935.31201171875</v>
      </c>
      <c r="H7" s="31">
        <v>5803.6943359375</v>
      </c>
      <c r="I7" s="31">
        <v>4740.728515625</v>
      </c>
      <c r="J7" s="31">
        <v>3767.2451171875</v>
      </c>
      <c r="K7" s="31">
        <v>4351</v>
      </c>
      <c r="L7" s="31">
        <v>2630.0908203125</v>
      </c>
      <c r="M7" s="31">
        <v>3933.163818359375</v>
      </c>
      <c r="N7" s="31">
        <v>3105.962646484375</v>
      </c>
      <c r="O7" s="29">
        <f t="shared" si="0"/>
        <v>-0.52784282308656627</v>
      </c>
      <c r="P7" s="29">
        <f t="shared" si="1"/>
        <v>-0.17553476084848349</v>
      </c>
    </row>
    <row r="8" spans="1:17" ht="18" customHeight="1">
      <c r="A8" s="185"/>
      <c r="B8" s="30" t="s">
        <v>194</v>
      </c>
      <c r="C8" s="33"/>
      <c r="D8" s="33">
        <f ca="1">22.708098*OFFSET(D$113,MATCH($N$1,$C$113:$C$114,0)-1,0)</f>
        <v>22.708098</v>
      </c>
      <c r="E8" s="33">
        <f ca="1">19.610476*OFFSET(E$113,MATCH($N$1,$C$113:$C$114,0)-1,0)</f>
        <v>19.610475999999998</v>
      </c>
      <c r="F8" s="33">
        <f ca="1">18.128016*OFFSET(F$113,MATCH($N$1,$C$113:$C$114,0)-1,0)</f>
        <v>18.128015999999999</v>
      </c>
      <c r="G8" s="33">
        <f ca="1">16.1591*OFFSET(G$113,MATCH($N$1,$C$113:$C$114,0)-1,0)</f>
        <v>16.159099999999999</v>
      </c>
      <c r="H8" s="33">
        <f ca="1">17.562952*OFFSET(H$113,MATCH($N$1,$C$113:$C$114,0)-1,0)</f>
        <v>17.562951999999999</v>
      </c>
      <c r="I8" s="33">
        <f ca="1">14.396859*OFFSET(I$113,MATCH($N$1,$C$113:$C$114,0)-1,0)</f>
        <v>14.396858999999999</v>
      </c>
      <c r="J8" s="33">
        <f ca="1">12.069339*OFFSET(J$113,MATCH($N$1,$C$113:$C$114,0)-1,0)</f>
        <v>12.069338999999999</v>
      </c>
      <c r="K8" s="33">
        <f ca="1">13.433761*OFFSET(K$113,MATCH($N$1,$C$113:$C$114,0)-1,0)</f>
        <v>13.433761000000001</v>
      </c>
      <c r="L8" s="33">
        <f ca="1">6.14361*OFFSET(L$113,MATCH($N$1,$C$113:$C$114,0)-1,0)</f>
        <v>6.1436099999999998</v>
      </c>
      <c r="M8" s="33">
        <f ca="1">9.447165*OFFSET(M$113,MATCH($N$1,$C$113:$C$114,0)-1,0)</f>
        <v>9.447165</v>
      </c>
      <c r="N8" s="33">
        <v>9.9824199999999994</v>
      </c>
      <c r="O8" s="29">
        <f t="shared" ca="1" si="0"/>
        <v>-0.56040263697998838</v>
      </c>
      <c r="P8" s="29">
        <f t="shared" ca="1" si="1"/>
        <v>-0.17291079486623087</v>
      </c>
    </row>
    <row r="9" spans="1:17" ht="18" customHeight="1">
      <c r="A9" s="185"/>
      <c r="B9" s="30" t="s">
        <v>195</v>
      </c>
      <c r="C9" s="31"/>
      <c r="D9" s="31">
        <v>16450</v>
      </c>
      <c r="E9" s="31">
        <v>15345</v>
      </c>
      <c r="F9" s="31">
        <v>14535</v>
      </c>
      <c r="G9" s="31">
        <v>13559</v>
      </c>
      <c r="H9" s="31">
        <v>12851</v>
      </c>
      <c r="I9" s="31">
        <v>11256</v>
      </c>
      <c r="J9" s="31">
        <v>9499</v>
      </c>
      <c r="K9" s="31">
        <v>9773</v>
      </c>
      <c r="L9" s="31">
        <v>6844</v>
      </c>
      <c r="M9" s="31">
        <v>8170</v>
      </c>
      <c r="N9" s="31">
        <v>6595</v>
      </c>
      <c r="O9" s="29">
        <f t="shared" si="0"/>
        <v>-0.59908814589665649</v>
      </c>
      <c r="P9" s="29">
        <f t="shared" si="1"/>
        <v>-0.30571639119907357</v>
      </c>
    </row>
    <row r="10" spans="1:17" ht="18" customHeight="1">
      <c r="A10" s="185"/>
      <c r="B10" s="30" t="s">
        <v>196</v>
      </c>
      <c r="C10" s="31"/>
      <c r="D10" s="31">
        <v>6579.6100000000006</v>
      </c>
      <c r="E10" s="31">
        <v>6225.7300000000005</v>
      </c>
      <c r="F10" s="31">
        <v>5865.46</v>
      </c>
      <c r="G10" s="31">
        <v>5333.04</v>
      </c>
      <c r="H10" s="31">
        <v>5215.22</v>
      </c>
      <c r="I10" s="31">
        <v>4638.2</v>
      </c>
      <c r="J10" s="31">
        <v>3790.67</v>
      </c>
      <c r="K10" s="31">
        <v>4156.9400000000005</v>
      </c>
      <c r="L10" s="31">
        <v>2843.2000000000003</v>
      </c>
      <c r="M10" s="31">
        <v>3493.04</v>
      </c>
      <c r="N10" s="31">
        <v>2731.29</v>
      </c>
      <c r="O10" s="29">
        <f t="shared" si="0"/>
        <v>-0.58488573030924329</v>
      </c>
      <c r="P10" s="29">
        <f t="shared" si="1"/>
        <v>-0.27947038386353867</v>
      </c>
    </row>
    <row r="11" spans="1:17" ht="18" customHeight="1">
      <c r="A11" s="185"/>
      <c r="B11" s="30" t="s">
        <v>197</v>
      </c>
      <c r="C11" s="31"/>
      <c r="D11" s="31">
        <v>467.34735107421875</v>
      </c>
      <c r="E11" s="31">
        <v>322.94796752929688</v>
      </c>
      <c r="F11" s="31">
        <v>330.71051025390625</v>
      </c>
      <c r="G11" s="31">
        <v>354.90780639648438</v>
      </c>
      <c r="H11" s="31">
        <v>305.90170288085938</v>
      </c>
      <c r="I11" s="31">
        <v>281.13107299804688</v>
      </c>
      <c r="J11" s="31">
        <v>285.88418579101563</v>
      </c>
      <c r="K11" s="31">
        <v>232.02835083007813</v>
      </c>
      <c r="L11" s="31">
        <v>142.31690979003906</v>
      </c>
      <c r="M11" s="31">
        <v>312.8427734375</v>
      </c>
      <c r="N11" s="31">
        <v>243.82624816894531</v>
      </c>
      <c r="O11" s="34">
        <f t="shared" si="0"/>
        <v>-0.47827617379557241</v>
      </c>
      <c r="P11" s="34">
        <f t="shared" si="1"/>
        <v>-0.14711529952487512</v>
      </c>
    </row>
    <row r="12" spans="1:17" ht="18" customHeight="1">
      <c r="A12" s="186" t="s">
        <v>198</v>
      </c>
      <c r="B12" s="35" t="s">
        <v>199</v>
      </c>
      <c r="C12" s="36"/>
      <c r="D12" s="36">
        <v>14.564949035644531</v>
      </c>
      <c r="E12" s="36">
        <v>14.633020401000977</v>
      </c>
      <c r="F12" s="36">
        <v>14.802777290344238</v>
      </c>
      <c r="G12" s="36">
        <v>14.690673828125</v>
      </c>
      <c r="H12" s="36">
        <v>14.746542930603027</v>
      </c>
      <c r="I12" s="36">
        <v>15.086081504821777</v>
      </c>
      <c r="J12" s="36">
        <v>14.826885223388672</v>
      </c>
      <c r="K12" s="36">
        <v>15.443666458129883</v>
      </c>
      <c r="L12" s="36">
        <v>15.111509323120117</v>
      </c>
      <c r="M12" s="36">
        <v>15.104545593261719</v>
      </c>
      <c r="N12" s="36">
        <v>14.654706001281738</v>
      </c>
      <c r="O12" s="29">
        <f t="shared" si="0"/>
        <v>6.1625320773554693E-3</v>
      </c>
      <c r="P12" s="29">
        <f t="shared" si="1"/>
        <v>-1.1612636067036485E-2</v>
      </c>
    </row>
    <row r="13" spans="1:17" ht="18" customHeight="1">
      <c r="A13" s="187"/>
      <c r="B13" s="37" t="s">
        <v>190</v>
      </c>
      <c r="C13" s="31"/>
      <c r="D13" s="31">
        <v>160.11111450195313</v>
      </c>
      <c r="E13" s="31">
        <v>163.08332824707031</v>
      </c>
      <c r="F13" s="31">
        <v>163.4888916015625</v>
      </c>
      <c r="G13" s="31">
        <v>161.65168762207031</v>
      </c>
      <c r="H13" s="31">
        <v>165.49382019042969</v>
      </c>
      <c r="I13" s="31">
        <v>165.29730224609375</v>
      </c>
      <c r="J13" s="31">
        <v>163.37704467773438</v>
      </c>
      <c r="K13" s="31">
        <v>173.25</v>
      </c>
      <c r="L13" s="31">
        <v>171.67924499511719</v>
      </c>
      <c r="M13" s="31">
        <v>175.54545593261719</v>
      </c>
      <c r="N13" s="31">
        <v>175.01960754394531</v>
      </c>
      <c r="O13" s="29">
        <f t="shared" si="0"/>
        <v>9.3113417443673629E-2</v>
      </c>
      <c r="P13" s="29">
        <f t="shared" si="1"/>
        <v>7.1261925989518332E-2</v>
      </c>
    </row>
    <row r="14" spans="1:17" ht="18" customHeight="1">
      <c r="A14" s="187"/>
      <c r="B14" s="37" t="s">
        <v>191</v>
      </c>
      <c r="C14" s="31"/>
      <c r="D14" s="31">
        <v>37.161617279052734</v>
      </c>
      <c r="E14" s="31">
        <v>38.375</v>
      </c>
      <c r="F14" s="31">
        <v>38.366664886474609</v>
      </c>
      <c r="G14" s="31">
        <v>36.797752380371094</v>
      </c>
      <c r="H14" s="31">
        <v>37.592594146728516</v>
      </c>
      <c r="I14" s="31">
        <v>39.770271301269531</v>
      </c>
      <c r="J14" s="31">
        <v>38.426231384277344</v>
      </c>
      <c r="K14" s="31">
        <v>43</v>
      </c>
      <c r="L14" s="31">
        <v>40.113208770751953</v>
      </c>
      <c r="M14" s="31">
        <v>40.945453643798828</v>
      </c>
      <c r="N14" s="31">
        <v>38.470588684082031</v>
      </c>
      <c r="O14" s="29">
        <f t="shared" si="0"/>
        <v>3.5223746996800864E-2</v>
      </c>
      <c r="P14" s="29">
        <f t="shared" si="1"/>
        <v>1.1543494692752238E-3</v>
      </c>
    </row>
    <row r="15" spans="1:17" ht="18" customHeight="1">
      <c r="A15" s="187"/>
      <c r="B15" s="37" t="s">
        <v>192</v>
      </c>
      <c r="C15" s="31"/>
      <c r="D15" s="31">
        <v>147.24386596679688</v>
      </c>
      <c r="E15" s="31">
        <v>149.95686340332031</v>
      </c>
      <c r="F15" s="31">
        <v>150.90638732910156</v>
      </c>
      <c r="G15" s="31">
        <v>148.60748291015625</v>
      </c>
      <c r="H15" s="31">
        <v>150.26107788085938</v>
      </c>
      <c r="I15" s="31">
        <v>153.86930847167969</v>
      </c>
      <c r="J15" s="31">
        <v>150.8494873046875</v>
      </c>
      <c r="K15" s="31">
        <v>160.39901733398438</v>
      </c>
      <c r="L15" s="31">
        <v>156.91822814941406</v>
      </c>
      <c r="M15" s="31">
        <v>159.39219665527344</v>
      </c>
      <c r="N15" s="31">
        <v>155.83877563476563</v>
      </c>
      <c r="O15" s="29">
        <f t="shared" si="0"/>
        <v>5.8371937000804369E-2</v>
      </c>
      <c r="P15" s="29">
        <f t="shared" si="1"/>
        <v>3.3074612444659514E-2</v>
      </c>
    </row>
    <row r="16" spans="1:17" ht="18" customHeight="1">
      <c r="A16" s="187"/>
      <c r="B16" s="37" t="s">
        <v>193</v>
      </c>
      <c r="C16" s="33"/>
      <c r="D16" s="33">
        <v>66.446861267089844</v>
      </c>
      <c r="E16" s="33">
        <v>66.537910461425781</v>
      </c>
      <c r="F16" s="33">
        <v>62.118190765380859</v>
      </c>
      <c r="G16" s="33">
        <v>55.45294189453125</v>
      </c>
      <c r="H16" s="33">
        <v>71.650550842285156</v>
      </c>
      <c r="I16" s="33">
        <v>64.063896179199219</v>
      </c>
      <c r="J16" s="33">
        <v>61.75811767578125</v>
      </c>
      <c r="K16" s="33">
        <v>72.51666259765625</v>
      </c>
      <c r="L16" s="33">
        <v>49.624355316162109</v>
      </c>
      <c r="M16" s="33">
        <v>71.512069702148438</v>
      </c>
      <c r="N16" s="33">
        <v>60.901229858398438</v>
      </c>
      <c r="O16" s="29">
        <f t="shared" si="0"/>
        <v>-8.3459644337453093E-2</v>
      </c>
      <c r="P16" s="29">
        <f t="shared" si="1"/>
        <v>-1.387490178831738E-2</v>
      </c>
    </row>
    <row r="17" spans="1:16" ht="18" customHeight="1">
      <c r="A17" s="187"/>
      <c r="B17" s="37" t="s">
        <v>200</v>
      </c>
      <c r="C17" s="33"/>
      <c r="D17" s="33">
        <f ca="1">229.37471875*OFFSET(D$113,MATCH($N$1,$C$113:$C$114,0)-1,0)</f>
        <v>229.37471875</v>
      </c>
      <c r="E17" s="33">
        <f ca="1">204.275796875*OFFSET(E$113,MATCH($N$1,$C$113:$C$114,0)-1,0)</f>
        <v>204.275796875</v>
      </c>
      <c r="F17" s="33">
        <f ca="1">201.422390625*OFFSET(F$113,MATCH($N$1,$C$113:$C$114,0)-1,0)</f>
        <v>201.42239062499999</v>
      </c>
      <c r="G17" s="33">
        <f ca="1">181.562921875*OFFSET(G$113,MATCH($N$1,$C$113:$C$114,0)-1,0)</f>
        <v>181.562921875</v>
      </c>
      <c r="H17" s="33">
        <f ca="1">216.8265625*OFFSET(H$113,MATCH($N$1,$C$113:$C$114,0)-1,0)</f>
        <v>216.82656249999999</v>
      </c>
      <c r="I17" s="33">
        <f ca="1">194.55215625*OFFSET(I$113,MATCH($N$1,$C$113:$C$114,0)-1,0)</f>
        <v>194.55215625</v>
      </c>
      <c r="J17" s="33">
        <f ca="1">197.858015625*OFFSET(J$113,MATCH($N$1,$C$113:$C$114,0)-1,0)</f>
        <v>197.85801562500001</v>
      </c>
      <c r="K17" s="33">
        <f ca="1">223.896015625*OFFSET(K$113,MATCH($N$1,$C$113:$C$114,0)-1,0)</f>
        <v>223.89601562499999</v>
      </c>
      <c r="L17" s="33">
        <f ca="1">115.917171875*OFFSET(L$113,MATCH($N$1,$C$113:$C$114,0)-1,0)</f>
        <v>115.91717187499999</v>
      </c>
      <c r="M17" s="33">
        <f ca="1">171.766640625*OFFSET(M$113,MATCH($N$1,$C$113:$C$114,0)-1,0)</f>
        <v>171.76664062500001</v>
      </c>
      <c r="N17" s="33">
        <v>195.73371875000001</v>
      </c>
      <c r="O17" s="29">
        <f t="shared" ca="1" si="0"/>
        <v>-0.1466639400511526</v>
      </c>
      <c r="P17" s="29">
        <f t="shared" ca="1" si="1"/>
        <v>-1.0736471142145565E-2</v>
      </c>
    </row>
    <row r="18" spans="1:16" ht="18" customHeight="1">
      <c r="A18" s="187"/>
      <c r="B18" s="37" t="s">
        <v>195</v>
      </c>
      <c r="C18" s="31"/>
      <c r="D18" s="31">
        <v>166.16162109375</v>
      </c>
      <c r="E18" s="31">
        <v>159.84375</v>
      </c>
      <c r="F18" s="31">
        <v>161.5</v>
      </c>
      <c r="G18" s="31">
        <v>152.34831237792969</v>
      </c>
      <c r="H18" s="31">
        <v>158.65432739257813</v>
      </c>
      <c r="I18" s="31">
        <v>152.10810852050781</v>
      </c>
      <c r="J18" s="31">
        <v>155.7213134765625</v>
      </c>
      <c r="K18" s="31">
        <v>162.88333129882813</v>
      </c>
      <c r="L18" s="31">
        <v>129.132080078125</v>
      </c>
      <c r="M18" s="31">
        <v>148.54545593261719</v>
      </c>
      <c r="N18" s="31">
        <v>129.313720703125</v>
      </c>
      <c r="O18" s="29">
        <f t="shared" si="0"/>
        <v>-0.22175939394473684</v>
      </c>
      <c r="P18" s="29">
        <f t="shared" si="1"/>
        <v>-0.16958239167056657</v>
      </c>
    </row>
    <row r="19" spans="1:16" ht="18" customHeight="1">
      <c r="A19" s="187"/>
      <c r="B19" s="37" t="s">
        <v>201</v>
      </c>
      <c r="C19" s="31"/>
      <c r="D19" s="31">
        <v>35.010101318359375</v>
      </c>
      <c r="E19" s="31">
        <v>35.78125</v>
      </c>
      <c r="F19" s="31">
        <v>36.811111450195313</v>
      </c>
      <c r="G19" s="31">
        <v>38.348316192626953</v>
      </c>
      <c r="H19" s="31">
        <v>38.740741729736328</v>
      </c>
      <c r="I19" s="31">
        <v>39.648647308349609</v>
      </c>
      <c r="J19" s="31">
        <v>40.213115692138672</v>
      </c>
      <c r="K19" s="31">
        <v>41.266666412353516</v>
      </c>
      <c r="L19" s="31">
        <v>41.830188751220703</v>
      </c>
      <c r="M19" s="31">
        <v>41.854545593261719</v>
      </c>
      <c r="N19" s="31">
        <v>40.372547149658203</v>
      </c>
      <c r="O19" s="29">
        <f t="shared" si="0"/>
        <v>0.15316853220549664</v>
      </c>
      <c r="P19" s="29">
        <f t="shared" si="1"/>
        <v>3.9646631397601152E-3</v>
      </c>
    </row>
    <row r="20" spans="1:16" ht="18" customHeight="1">
      <c r="A20" s="187"/>
      <c r="B20" s="37" t="s">
        <v>202</v>
      </c>
      <c r="C20" s="38"/>
      <c r="D20" s="38">
        <v>0.39989295601844788</v>
      </c>
      <c r="E20" s="38">
        <v>0.41626843810081482</v>
      </c>
      <c r="F20" s="38">
        <v>0.38463276624679565</v>
      </c>
      <c r="G20" s="38">
        <v>0.36398789286613464</v>
      </c>
      <c r="H20" s="38">
        <v>0.45161423087120056</v>
      </c>
      <c r="I20" s="38">
        <v>0.42117345333099365</v>
      </c>
      <c r="J20" s="38">
        <v>0.39659386873245239</v>
      </c>
      <c r="K20" s="38">
        <v>0.4452061653137207</v>
      </c>
      <c r="L20" s="38">
        <v>0.38429147005081177</v>
      </c>
      <c r="M20" s="38">
        <v>0.48141539096832275</v>
      </c>
      <c r="N20" s="38">
        <v>0.47095721960067749</v>
      </c>
      <c r="O20" s="29">
        <f t="shared" si="0"/>
        <v>0.17770821544291288</v>
      </c>
      <c r="P20" s="29">
        <f t="shared" si="1"/>
        <v>0.18750504415485966</v>
      </c>
    </row>
    <row r="21" spans="1:16" ht="18" customHeight="1">
      <c r="A21" s="188"/>
      <c r="B21" s="39" t="s">
        <v>203</v>
      </c>
      <c r="C21" s="40"/>
      <c r="D21" s="40">
        <f ca="1">3452*OFFSET(D$113,MATCH($N$1,$C$113:$C$114,0)-1,0)</f>
        <v>3452</v>
      </c>
      <c r="E21" s="40">
        <f ca="1">3070*OFFSET(E$113,MATCH($N$1,$C$113:$C$114,0)-1,0)</f>
        <v>3070</v>
      </c>
      <c r="F21" s="40">
        <f ca="1">3243*OFFSET(F$113,MATCH($N$1,$C$113:$C$114,0)-1,0)</f>
        <v>3243</v>
      </c>
      <c r="G21" s="40">
        <f ca="1">3274*OFFSET(G$113,MATCH($N$1,$C$113:$C$114,0)-1,0)</f>
        <v>3274</v>
      </c>
      <c r="H21" s="40">
        <f ca="1">3026*OFFSET(H$113,MATCH($N$1,$C$113:$C$114,0)-1,0)</f>
        <v>3026</v>
      </c>
      <c r="I21" s="40">
        <f ca="1">3037*OFFSET(I$113,MATCH($N$1,$C$113:$C$114,0)-1,0)</f>
        <v>3037</v>
      </c>
      <c r="J21" s="40">
        <f ca="1">3204*OFFSET(J$113,MATCH($N$1,$C$113:$C$114,0)-1,0)</f>
        <v>3204</v>
      </c>
      <c r="K21" s="40">
        <f ca="1">3088*OFFSET(K$113,MATCH($N$1,$C$113:$C$114,0)-1,0)</f>
        <v>3088</v>
      </c>
      <c r="L21" s="40">
        <f ca="1">2336*OFFSET(L$113,MATCH($N$1,$C$113:$C$114,0)-1,0)</f>
        <v>2336</v>
      </c>
      <c r="M21" s="40">
        <f ca="1">2402*OFFSET(M$113,MATCH($N$1,$C$113:$C$114,0)-1,0)</f>
        <v>2402</v>
      </c>
      <c r="N21" s="40">
        <v>3214</v>
      </c>
      <c r="O21" s="34">
        <f t="shared" ca="1" si="0"/>
        <v>-6.8945538818076482E-2</v>
      </c>
      <c r="P21" s="34">
        <f t="shared" ca="1" si="1"/>
        <v>3.1210986267166041E-3</v>
      </c>
    </row>
    <row r="22" spans="1:16" ht="18" customHeight="1">
      <c r="A22" s="189" t="s">
        <v>204</v>
      </c>
      <c r="B22" s="35" t="s">
        <v>205</v>
      </c>
      <c r="C22" s="41"/>
      <c r="D22" s="41">
        <v>2.4334448649644824</v>
      </c>
      <c r="E22" s="41">
        <v>2.4824047124425221</v>
      </c>
      <c r="F22" s="41">
        <v>2.3154563733374309</v>
      </c>
      <c r="G22" s="41">
        <v>2.2142812605066986</v>
      </c>
      <c r="H22" s="41">
        <v>2.6469764598383465</v>
      </c>
      <c r="I22" s="41">
        <v>2.5014197797860556</v>
      </c>
      <c r="J22" s="41">
        <v>2.403754053084084</v>
      </c>
      <c r="K22" s="41">
        <v>2.5660184109601309</v>
      </c>
      <c r="L22" s="41">
        <v>2.2654722424217861</v>
      </c>
      <c r="M22" s="41">
        <v>2.7298565909675845</v>
      </c>
      <c r="N22" s="41">
        <v>2.6672025080733066</v>
      </c>
      <c r="O22" s="29">
        <f t="shared" si="0"/>
        <v>9.6060381919619131E-2</v>
      </c>
      <c r="P22" s="29">
        <f t="shared" si="1"/>
        <v>0.10959875643317621</v>
      </c>
    </row>
    <row r="23" spans="1:16" ht="18" customHeight="1">
      <c r="A23" s="189"/>
      <c r="B23" s="37" t="s">
        <v>206</v>
      </c>
      <c r="C23" s="38"/>
      <c r="D23" s="38">
        <f ca="1">8.40025730111218*OFFSET(D$113,MATCH($N$1,$C$113:$C$114,0)-1,0)</f>
        <v>8.4002573011121804</v>
      </c>
      <c r="E23" s="38">
        <f ca="1">7.62114706163536*OFFSET(E$113,MATCH($N$1,$C$113:$C$114,0)-1,0)</f>
        <v>7.6211470616353596</v>
      </c>
      <c r="F23" s="38">
        <f ca="1">7.50802224532011*OFFSET(F$113,MATCH($N$1,$C$113:$C$114,0)-1,0)</f>
        <v>7.5080222453201104</v>
      </c>
      <c r="G23" s="38">
        <f ca="1">7.24995576024259*OFFSET(G$113,MATCH($N$1,$C$113:$C$114,0)-1,0)</f>
        <v>7.2499557602425897</v>
      </c>
      <c r="H23" s="38">
        <f ca="1">8.01019392116739*OFFSET(H$113,MATCH($N$1,$C$113:$C$114,0)-1,0)</f>
        <v>8.0101939211673905</v>
      </c>
      <c r="I23" s="38">
        <f ca="1">7.59642545752297*OFFSET(I$113,MATCH($N$1,$C$113:$C$114,0)-1,0)</f>
        <v>7.5964254575229697</v>
      </c>
      <c r="J23" s="38">
        <f ca="1">7.7010444115313*OFFSET(J$113,MATCH($N$1,$C$113:$C$114,0)-1,0)</f>
        <v>7.7010444115313001</v>
      </c>
      <c r="K23" s="38">
        <f ca="1">7.92261085458359*OFFSET(K$113,MATCH($N$1,$C$113:$C$114,0)-1,0)</f>
        <v>7.9226108545835903</v>
      </c>
      <c r="L23" s="38">
        <f ca="1">5.2919001895289*OFFSET(L$113,MATCH($N$1,$C$113:$C$114,0)-1,0)</f>
        <v>5.2919001895289002</v>
      </c>
      <c r="M23" s="38">
        <f ca="1">6.55691127346059*OFFSET(M$113,MATCH($N$1,$C$113:$C$114,0)-1,0)</f>
        <v>6.5569112734605897</v>
      </c>
      <c r="N23" s="38">
        <v>8.5722647437229309</v>
      </c>
      <c r="O23" s="29">
        <f t="shared" ca="1" si="0"/>
        <v>2.0476449285425698E-2</v>
      </c>
      <c r="P23" s="29">
        <f t="shared" ca="1" si="1"/>
        <v>0.11313015295523982</v>
      </c>
    </row>
    <row r="24" spans="1:16" ht="18" customHeight="1">
      <c r="A24" s="189"/>
      <c r="B24" s="37" t="s">
        <v>153</v>
      </c>
      <c r="C24" s="38"/>
      <c r="D24" s="38">
        <f ca="1">6.9648706230754*OFFSET(D$113,MATCH($N$1,$C$113:$C$114,0)-1,0)</f>
        <v>6.9648706230753996</v>
      </c>
      <c r="E24" s="38">
        <f ca="1">6.732943665022*OFFSET(E$113,MATCH($N$1,$C$113:$C$114,0)-1,0)</f>
        <v>6.7329436650219998</v>
      </c>
      <c r="F24" s="38">
        <f ca="1">6.66927719163062*OFFSET(F$113,MATCH($N$1,$C$113:$C$114,0)-1,0)</f>
        <v>6.6692771916306199</v>
      </c>
      <c r="G24" s="38">
        <f ca="1">5.9603531054048*OFFSET(G$113,MATCH($N$1,$C$113:$C$114,0)-1,0)</f>
        <v>5.9603531054048</v>
      </c>
      <c r="H24" s="38">
        <f ca="1">6.61232439513278*OFFSET(H$113,MATCH($N$1,$C$113:$C$114,0)-1,0)</f>
        <v>6.6123243951327799</v>
      </c>
      <c r="I24" s="38">
        <f ca="1">6.46036466626335*OFFSET(I$113,MATCH($N$1,$C$113:$C$114,0)-1,0)</f>
        <v>6.4603646662633496</v>
      </c>
      <c r="J24" s="38">
        <f ca="1">6.53030071141494*OFFSET(J$113,MATCH($N$1,$C$113:$C$114,0)-1,0)</f>
        <v>6.5303007114149398</v>
      </c>
      <c r="K24" s="38">
        <f ca="1">6.70186880724009*OFFSET(K$113,MATCH($N$1,$C$113:$C$114,0)-1,0)</f>
        <v>6.70186880724009</v>
      </c>
      <c r="L24" s="38">
        <f ca="1">4.81518872285196*OFFSET(L$113,MATCH($N$1,$C$113:$C$114,0)-1,0)</f>
        <v>4.8151887228519596</v>
      </c>
      <c r="M24" s="38">
        <f ca="1">6.6541008747666*OFFSET(M$113,MATCH($N$1,$C$113:$C$114,0)-1,0)</f>
        <v>6.6541008747666002</v>
      </c>
      <c r="N24" s="38">
        <v>8.91612946377745</v>
      </c>
      <c r="O24" s="29">
        <f t="shared" ca="1" si="0"/>
        <v>0.28015722707573498</v>
      </c>
      <c r="P24" s="29">
        <f t="shared" ca="1" si="1"/>
        <v>0.36534745608147734</v>
      </c>
    </row>
    <row r="25" spans="1:16" ht="18" customHeight="1">
      <c r="A25" s="189"/>
      <c r="B25" s="37" t="s">
        <v>154</v>
      </c>
      <c r="C25" s="38"/>
      <c r="D25" s="38">
        <f ca="1">1.92242055313159*OFFSET(D$113,MATCH($N$1,$C$113:$C$114,0)-1,0)</f>
        <v>1.9224205531315901</v>
      </c>
      <c r="E25" s="38">
        <f ca="1">1.24324169136387*OFFSET(E$113,MATCH($N$1,$C$113:$C$114,0)-1,0)</f>
        <v>1.24324169136387</v>
      </c>
      <c r="F25" s="38">
        <f ca="1">1.36569721783525*OFFSET(F$113,MATCH($N$1,$C$113:$C$114,0)-1,0)</f>
        <v>1.36569721783525</v>
      </c>
      <c r="G25" s="38">
        <f ca="1">1.47450951581779*OFFSET(G$113,MATCH($N$1,$C$113:$C$114,0)-1,0)</f>
        <v>1.4745095158177901</v>
      </c>
      <c r="H25" s="38">
        <f ca="1">1.6816600333063*OFFSET(H$113,MATCH($N$1,$C$113:$C$114,0)-1,0)</f>
        <v>1.6816600333063001</v>
      </c>
      <c r="I25" s="38">
        <f ca="1">1.30148764886078*OFFSET(I$113,MATCH($N$1,$C$113:$C$114,0)-1,0)</f>
        <v>1.3014876488607801</v>
      </c>
      <c r="J25" s="38">
        <f ca="1">1.25366458552666*OFFSET(J$113,MATCH($N$1,$C$113:$C$114,0)-1,0)</f>
        <v>1.2536645855266599</v>
      </c>
      <c r="K25" s="38">
        <f ca="1">1.29069072788237*OFFSET(K$113,MATCH($N$1,$C$113:$C$114,0)-1,0)</f>
        <v>1.29069072788237</v>
      </c>
      <c r="L25" s="38">
        <f ca="1">1.01498933231186*OFFSET(L$113,MATCH($N$1,$C$113:$C$114,0)-1,0)</f>
        <v>1.0149893323118599</v>
      </c>
      <c r="M25" s="38">
        <f ca="1">0.188851109845956*OFFSET(M$113,MATCH($N$1,$C$113:$C$114,0)-1,0)</f>
        <v>0.18885110984595599</v>
      </c>
      <c r="N25" s="38">
        <v>-4.6217477424551699E-2</v>
      </c>
      <c r="O25" s="29">
        <f t="shared" ca="1" si="0"/>
        <v>-1.0240412938517871</v>
      </c>
      <c r="P25" s="29">
        <f t="shared" ca="1" si="1"/>
        <v>-1.0368659033350103</v>
      </c>
    </row>
    <row r="26" spans="1:16" ht="18" customHeight="1">
      <c r="A26" s="189"/>
      <c r="B26" s="37" t="s">
        <v>207</v>
      </c>
      <c r="C26" s="33"/>
      <c r="D26" s="33">
        <f ca="1">48.59*OFFSET(D$113,MATCH($N$1,$C$113:$C$114,0)-1,0)</f>
        <v>48.59</v>
      </c>
      <c r="E26" s="33">
        <f ca="1">60.73*OFFSET(E$113,MATCH($N$1,$C$113:$C$114,0)-1,0)</f>
        <v>60.73</v>
      </c>
      <c r="F26" s="33">
        <f ca="1">54.81*OFFSET(F$113,MATCH($N$1,$C$113:$C$114,0)-1,0)</f>
        <v>54.81</v>
      </c>
      <c r="G26" s="33">
        <f ca="1">45.54*OFFSET(G$113,MATCH($N$1,$C$113:$C$114,0)-1,0)</f>
        <v>45.54</v>
      </c>
      <c r="H26" s="33">
        <f ca="1">57.41*OFFSET(H$113,MATCH($N$1,$C$113:$C$114,0)-1,0)</f>
        <v>57.41</v>
      </c>
      <c r="I26" s="33">
        <f ca="1">51.22*OFFSET(I$113,MATCH($N$1,$C$113:$C$114,0)-1,0)</f>
        <v>51.22</v>
      </c>
      <c r="J26" s="33">
        <f ca="1">42.23*OFFSET(J$113,MATCH($N$1,$C$113:$C$114,0)-1,0)</f>
        <v>42.23</v>
      </c>
      <c r="K26" s="33">
        <f ca="1">57.9*OFFSET(K$113,MATCH($N$1,$C$113:$C$114,0)-1,0)</f>
        <v>57.9</v>
      </c>
      <c r="L26" s="33">
        <f ca="1">43.16*OFFSET(L$113,MATCH($N$1,$C$113:$C$114,0)-1,0)</f>
        <v>43.16</v>
      </c>
      <c r="M26" s="33">
        <f ca="1">30.2*OFFSET(M$113,MATCH($N$1,$C$113:$C$114,0)-1,0)</f>
        <v>30.2</v>
      </c>
      <c r="N26" s="33">
        <v>40.93</v>
      </c>
      <c r="O26" s="29">
        <f t="shared" ca="1" si="0"/>
        <v>-0.15764560609178849</v>
      </c>
      <c r="P26" s="29">
        <f t="shared" ca="1" si="1"/>
        <v>-3.0783802983660839E-2</v>
      </c>
    </row>
    <row r="27" spans="1:16" ht="18" customHeight="1">
      <c r="A27" s="190"/>
      <c r="B27" s="37" t="s">
        <v>208</v>
      </c>
      <c r="C27" s="33"/>
      <c r="D27" s="33">
        <f ca="1">11.12*OFFSET(D$113,MATCH($N$1,$C$113:$C$114,0)-1,0)</f>
        <v>11.12</v>
      </c>
      <c r="E27" s="33">
        <f ca="1">9.9*OFFSET(E$113,MATCH($N$1,$C$113:$C$114,0)-1,0)</f>
        <v>9.9</v>
      </c>
      <c r="F27" s="33">
        <f ca="1">9.96*OFFSET(F$113,MATCH($N$1,$C$113:$C$114,0)-1,0)</f>
        <v>9.9600000000000009</v>
      </c>
      <c r="G27" s="33">
        <f ca="1">9.25*OFFSET(G$113,MATCH($N$1,$C$113:$C$114,0)-1,0)</f>
        <v>9.25</v>
      </c>
      <c r="H27" s="33">
        <f ca="1">12.05*OFFSET(H$113,MATCH($N$1,$C$113:$C$114,0)-1,0)</f>
        <v>12.05</v>
      </c>
      <c r="I27" s="33">
        <f ca="1">8.77*OFFSET(I$113,MATCH($N$1,$C$113:$C$114,0)-1,0)</f>
        <v>8.77</v>
      </c>
      <c r="J27" s="33">
        <f ca="1">6.87*OFFSET(J$113,MATCH($N$1,$C$113:$C$114,0)-1,0)</f>
        <v>6.87</v>
      </c>
      <c r="K27" s="33">
        <f ca="1">9.44*OFFSET(K$113,MATCH($N$1,$C$113:$C$114,0)-1,0)</f>
        <v>9.44</v>
      </c>
      <c r="L27" s="33">
        <f ca="1">8.27*OFFSET(L$113,MATCH($N$1,$C$113:$C$114,0)-1,0)</f>
        <v>8.27</v>
      </c>
      <c r="M27" s="33">
        <f ca="1">0.86*OFFSET(M$113,MATCH($N$1,$C$113:$C$114,0)-1,0)</f>
        <v>0.86</v>
      </c>
      <c r="N27" s="33">
        <v>-0.23</v>
      </c>
      <c r="O27" s="34">
        <f t="shared" ca="1" si="0"/>
        <v>-1.0206834532374101</v>
      </c>
      <c r="P27" s="34">
        <f t="shared" ca="1" si="1"/>
        <v>-1.0334788937409025</v>
      </c>
    </row>
    <row r="28" spans="1:16" s="78" customFormat="1" ht="18" customHeight="1">
      <c r="A28" s="191" t="s">
        <v>209</v>
      </c>
      <c r="B28" s="82" t="s">
        <v>200</v>
      </c>
      <c r="C28" s="83"/>
      <c r="D28" s="83">
        <f ca="1">229.4*OFFSET(D$113,MATCH($N$1,$C$113:$C$114,0)-1,0)</f>
        <v>229.4</v>
      </c>
      <c r="E28" s="83">
        <f ca="1">204.3*OFFSET(E$113,MATCH($N$1,$C$113:$C$114,0)-1,0)</f>
        <v>204.3</v>
      </c>
      <c r="F28" s="83">
        <f ca="1">201.4*OFFSET(F$113,MATCH($N$1,$C$113:$C$114,0)-1,0)</f>
        <v>201.4</v>
      </c>
      <c r="G28" s="83">
        <f ca="1">181.6*OFFSET(G$113,MATCH($N$1,$C$113:$C$114,0)-1,0)</f>
        <v>181.6</v>
      </c>
      <c r="H28" s="83">
        <f ca="1">216.8*OFFSET(H$113,MATCH($N$1,$C$113:$C$114,0)-1,0)</f>
        <v>216.8</v>
      </c>
      <c r="I28" s="83">
        <f ca="1">194.6*OFFSET(I$113,MATCH($N$1,$C$113:$C$114,0)-1,0)</f>
        <v>194.6</v>
      </c>
      <c r="J28" s="83">
        <f ca="1">197.9*OFFSET(J$113,MATCH($N$1,$C$113:$C$114,0)-1,0)</f>
        <v>197.9</v>
      </c>
      <c r="K28" s="83">
        <f ca="1">223.9*OFFSET(K$113,MATCH($N$1,$C$113:$C$114,0)-1,0)</f>
        <v>223.9</v>
      </c>
      <c r="L28" s="83">
        <f ca="1">115.9*OFFSET(L$113,MATCH($N$1,$C$113:$C$114,0)-1,0)</f>
        <v>115.9</v>
      </c>
      <c r="M28" s="83">
        <f ca="1">171.8*OFFSET(M$113,MATCH($N$1,$C$113:$C$114,0)-1,0)</f>
        <v>171.8</v>
      </c>
      <c r="N28" s="83">
        <v>195.70000000000002</v>
      </c>
      <c r="O28" s="84">
        <f t="shared" ca="1" si="0"/>
        <v>-0.1469049694856146</v>
      </c>
      <c r="P28" s="84">
        <f t="shared" ca="1" si="1"/>
        <v>-1.1116725618999438E-2</v>
      </c>
    </row>
    <row r="29" spans="1:16" s="78" customFormat="1" ht="18" customHeight="1">
      <c r="A29" s="192"/>
      <c r="B29" s="85" t="s">
        <v>210</v>
      </c>
      <c r="C29" s="86"/>
      <c r="D29" s="86">
        <f ca="1">13.3*OFFSET(D$113,MATCH($N$1,$C$113:$C$114,0)-1,0)</f>
        <v>13.3</v>
      </c>
      <c r="E29" s="86">
        <f ca="1">9.5*OFFSET(E$113,MATCH($N$1,$C$113:$C$114,0)-1,0)</f>
        <v>9.5</v>
      </c>
      <c r="F29" s="86">
        <f ca="1">14.1*OFFSET(F$113,MATCH($N$1,$C$113:$C$114,0)-1,0)</f>
        <v>14.1</v>
      </c>
      <c r="G29" s="86">
        <f ca="1">4.6*OFFSET(G$113,MATCH($N$1,$C$113:$C$114,0)-1,0)</f>
        <v>4.5999999999999996</v>
      </c>
      <c r="H29" s="86">
        <f ca="1">7.7*OFFSET(H$113,MATCH($N$1,$C$113:$C$114,0)-1,0)</f>
        <v>7.7</v>
      </c>
      <c r="I29" s="86">
        <f ca="1">4.2*OFFSET(I$113,MATCH($N$1,$C$113:$C$114,0)-1,0)</f>
        <v>4.2</v>
      </c>
      <c r="J29" s="86">
        <f ca="1">2.1*OFFSET(J$113,MATCH($N$1,$C$113:$C$114,0)-1,0)</f>
        <v>2.1</v>
      </c>
      <c r="K29" s="86">
        <f ca="1">2*OFFSET(K$113,MATCH($N$1,$C$113:$C$114,0)-1,0)</f>
        <v>2</v>
      </c>
      <c r="L29" s="86">
        <f ca="1">11.8*OFFSET(L$113,MATCH($N$1,$C$113:$C$114,0)-1,0)</f>
        <v>11.8</v>
      </c>
      <c r="M29" s="86">
        <f ca="1">7.5*OFFSET(M$113,MATCH($N$1,$C$113:$C$114,0)-1,0)</f>
        <v>7.5</v>
      </c>
      <c r="N29" s="86">
        <v>6.8</v>
      </c>
      <c r="O29" s="84">
        <f t="shared" ca="1" si="0"/>
        <v>-0.48872180451127822</v>
      </c>
      <c r="P29" s="84">
        <f t="shared" ca="1" si="1"/>
        <v>2.2380952380952377</v>
      </c>
    </row>
    <row r="30" spans="1:16" s="78" customFormat="1" ht="18" customHeight="1">
      <c r="A30" s="192"/>
      <c r="B30" s="87" t="s">
        <v>211</v>
      </c>
      <c r="C30" s="88"/>
      <c r="D30" s="88">
        <f ca="1">242.7*OFFSET(D$113,MATCH($N$1,$C$113:$C$114,0)-1,0)</f>
        <v>242.7</v>
      </c>
      <c r="E30" s="88">
        <f ca="1">213.8*OFFSET(E$113,MATCH($N$1,$C$113:$C$114,0)-1,0)</f>
        <v>213.8</v>
      </c>
      <c r="F30" s="88">
        <f ca="1">215.6*OFFSET(F$113,MATCH($N$1,$C$113:$C$114,0)-1,0)</f>
        <v>215.6</v>
      </c>
      <c r="G30" s="88">
        <f ca="1">186.2*OFFSET(G$113,MATCH($N$1,$C$113:$C$114,0)-1,0)</f>
        <v>186.2</v>
      </c>
      <c r="H30" s="88">
        <f ca="1">224.5*OFFSET(H$113,MATCH($N$1,$C$113:$C$114,0)-1,0)</f>
        <v>224.5</v>
      </c>
      <c r="I30" s="88">
        <f ca="1">198.8*OFFSET(I$113,MATCH($N$1,$C$113:$C$114,0)-1,0)</f>
        <v>198.8</v>
      </c>
      <c r="J30" s="88">
        <f ca="1">200*OFFSET(J$113,MATCH($N$1,$C$113:$C$114,0)-1,0)</f>
        <v>200</v>
      </c>
      <c r="K30" s="88">
        <f ca="1">225.9*OFFSET(K$113,MATCH($N$1,$C$113:$C$114,0)-1,0)</f>
        <v>225.9</v>
      </c>
      <c r="L30" s="88">
        <f ca="1">127.7*OFFSET(L$113,MATCH($N$1,$C$113:$C$114,0)-1,0)</f>
        <v>127.7</v>
      </c>
      <c r="M30" s="88">
        <f ca="1">179.3*OFFSET(M$113,MATCH($N$1,$C$113:$C$114,0)-1,0)</f>
        <v>179.3</v>
      </c>
      <c r="N30" s="88">
        <v>202.5</v>
      </c>
      <c r="O30" s="84">
        <f t="shared" ca="1" si="0"/>
        <v>-0.1656365883807169</v>
      </c>
      <c r="P30" s="84">
        <f t="shared" ca="1" si="1"/>
        <v>1.2500000000000001E-2</v>
      </c>
    </row>
    <row r="31" spans="1:16" s="78" customFormat="1" ht="18" customHeight="1">
      <c r="A31" s="192"/>
      <c r="B31" s="85" t="s">
        <v>212</v>
      </c>
      <c r="C31" s="86"/>
      <c r="D31" s="86">
        <f ca="1">47*OFFSET(D$113,MATCH($N$1,$C$113:$C$114,0)-1,0)</f>
        <v>47</v>
      </c>
      <c r="E31" s="86">
        <f ca="1">43.8*OFFSET(E$113,MATCH($N$1,$C$113:$C$114,0)-1,0)</f>
        <v>43.8</v>
      </c>
      <c r="F31" s="86">
        <f ca="1">39.9*OFFSET(F$113,MATCH($N$1,$C$113:$C$114,0)-1,0)</f>
        <v>39.9</v>
      </c>
      <c r="G31" s="86">
        <f ca="1">25.5*OFFSET(G$113,MATCH($N$1,$C$113:$C$114,0)-1,0)</f>
        <v>25.5</v>
      </c>
      <c r="H31" s="86">
        <f ca="1">25.5*OFFSET(H$113,MATCH($N$1,$C$113:$C$114,0)-1,0)</f>
        <v>25.5</v>
      </c>
      <c r="I31" s="86">
        <f ca="1">30.1*OFFSET(I$113,MATCH($N$1,$C$113:$C$114,0)-1,0)</f>
        <v>30.1</v>
      </c>
      <c r="J31" s="86">
        <f ca="1">35.3*OFFSET(J$113,MATCH($N$1,$C$113:$C$114,0)-1,0)</f>
        <v>35.299999999999997</v>
      </c>
      <c r="K31" s="86">
        <f ca="1">38.1*OFFSET(K$113,MATCH($N$1,$C$113:$C$114,0)-1,0)</f>
        <v>38.1</v>
      </c>
      <c r="L31" s="86">
        <f ca="1">20.8*OFFSET(L$113,MATCH($N$1,$C$113:$C$114,0)-1,0)</f>
        <v>20.8</v>
      </c>
      <c r="M31" s="86">
        <f ca="1">30.2*OFFSET(M$113,MATCH($N$1,$C$113:$C$114,0)-1,0)</f>
        <v>30.2</v>
      </c>
      <c r="N31" s="86">
        <v>44.4</v>
      </c>
      <c r="O31" s="84">
        <f t="shared" ca="1" si="0"/>
        <v>-5.5319148936170244E-2</v>
      </c>
      <c r="P31" s="84">
        <f t="shared" ca="1" si="1"/>
        <v>0.25779036827195473</v>
      </c>
    </row>
    <row r="32" spans="1:16" s="78" customFormat="1" ht="18" customHeight="1">
      <c r="A32" s="192"/>
      <c r="B32" s="85" t="s">
        <v>213</v>
      </c>
      <c r="C32" s="86"/>
      <c r="D32" s="86">
        <f ca="1">56.8*OFFSET(D$113,MATCH($N$1,$C$113:$C$114,0)-1,0)</f>
        <v>56.8</v>
      </c>
      <c r="E32" s="86">
        <f ca="1">53.5*OFFSET(E$113,MATCH($N$1,$C$113:$C$114,0)-1,0)</f>
        <v>53.5</v>
      </c>
      <c r="F32" s="86">
        <f ca="1">56.6*OFFSET(F$113,MATCH($N$1,$C$113:$C$114,0)-1,0)</f>
        <v>56.6</v>
      </c>
      <c r="G32" s="86">
        <f ca="1">49.6*OFFSET(G$113,MATCH($N$1,$C$113:$C$114,0)-1,0)</f>
        <v>49.6</v>
      </c>
      <c r="H32" s="86">
        <f ca="1">67.6*OFFSET(H$113,MATCH($N$1,$C$113:$C$114,0)-1,0)</f>
        <v>67.599999999999994</v>
      </c>
      <c r="I32" s="86">
        <f ca="1">60.4*OFFSET(I$113,MATCH($N$1,$C$113:$C$114,0)-1,0)</f>
        <v>60.4</v>
      </c>
      <c r="J32" s="86">
        <f ca="1">54.9*OFFSET(J$113,MATCH($N$1,$C$113:$C$114,0)-1,0)</f>
        <v>54.9</v>
      </c>
      <c r="K32" s="86">
        <f ca="1">58.9*OFFSET(K$113,MATCH($N$1,$C$113:$C$114,0)-1,0)</f>
        <v>58.9</v>
      </c>
      <c r="L32" s="86">
        <f ca="1">32.1*OFFSET(L$113,MATCH($N$1,$C$113:$C$114,0)-1,0)</f>
        <v>32.1</v>
      </c>
      <c r="M32" s="86">
        <f ca="1">60.5*OFFSET(M$113,MATCH($N$1,$C$113:$C$114,0)-1,0)</f>
        <v>60.5</v>
      </c>
      <c r="N32" s="86">
        <v>63.9</v>
      </c>
      <c r="O32" s="84">
        <f t="shared" ca="1" si="0"/>
        <v>0.12500000000000003</v>
      </c>
      <c r="P32" s="84">
        <f t="shared" ca="1" si="1"/>
        <v>0.16393442622950821</v>
      </c>
    </row>
    <row r="33" spans="1:16" s="78" customFormat="1" ht="18" customHeight="1">
      <c r="A33" s="192"/>
      <c r="B33" s="85" t="s">
        <v>214</v>
      </c>
      <c r="C33" s="86"/>
      <c r="D33" s="86">
        <f ca="1">32.2*OFFSET(D$113,MATCH($N$1,$C$113:$C$114,0)-1,0)</f>
        <v>32.200000000000003</v>
      </c>
      <c r="E33" s="86">
        <f ca="1">29.9*OFFSET(E$113,MATCH($N$1,$C$113:$C$114,0)-1,0)</f>
        <v>29.9</v>
      </c>
      <c r="F33" s="86">
        <f ca="1">28.6*OFFSET(F$113,MATCH($N$1,$C$113:$C$114,0)-1,0)</f>
        <v>28.6</v>
      </c>
      <c r="G33" s="86">
        <f ca="1">26.3*OFFSET(G$113,MATCH($N$1,$C$113:$C$114,0)-1,0)</f>
        <v>26.3</v>
      </c>
      <c r="H33" s="86">
        <f ca="1">29.1*OFFSET(H$113,MATCH($N$1,$C$113:$C$114,0)-1,0)</f>
        <v>29.1</v>
      </c>
      <c r="I33" s="86">
        <f ca="1">25.9*OFFSET(I$113,MATCH($N$1,$C$113:$C$114,0)-1,0)</f>
        <v>25.9</v>
      </c>
      <c r="J33" s="86">
        <f ca="1">21.6*OFFSET(J$113,MATCH($N$1,$C$113:$C$114,0)-1,0)</f>
        <v>21.6</v>
      </c>
      <c r="K33" s="86">
        <f ca="1">27*OFFSET(K$113,MATCH($N$1,$C$113:$C$114,0)-1,0)</f>
        <v>27</v>
      </c>
      <c r="L33" s="86">
        <f ca="1">18.1*OFFSET(L$113,MATCH($N$1,$C$113:$C$114,0)-1,0)</f>
        <v>18.100000000000001</v>
      </c>
      <c r="M33" s="86">
        <f ca="1">22*OFFSET(M$113,MATCH($N$1,$C$113:$C$114,0)-1,0)</f>
        <v>22</v>
      </c>
      <c r="N33" s="86">
        <v>25</v>
      </c>
      <c r="O33" s="84">
        <f t="shared" ca="1" si="0"/>
        <v>-0.22360248447204975</v>
      </c>
      <c r="P33" s="84">
        <f t="shared" ca="1" si="1"/>
        <v>0.15740740740740733</v>
      </c>
    </row>
    <row r="34" spans="1:16" s="78" customFormat="1" ht="18" customHeight="1">
      <c r="A34" s="192"/>
      <c r="B34" s="85" t="s">
        <v>215</v>
      </c>
      <c r="C34" s="86"/>
      <c r="D34" s="86">
        <f ca="1">136*OFFSET(D$113,MATCH($N$1,$C$113:$C$114,0)-1,0)</f>
        <v>136</v>
      </c>
      <c r="E34" s="86">
        <f ca="1">127.2*OFFSET(E$113,MATCH($N$1,$C$113:$C$114,0)-1,0)</f>
        <v>127.2</v>
      </c>
      <c r="F34" s="86">
        <f ca="1">125.1*OFFSET(F$113,MATCH($N$1,$C$113:$C$114,0)-1,0)</f>
        <v>125.1</v>
      </c>
      <c r="G34" s="86">
        <f ca="1">101.4*OFFSET(G$113,MATCH($N$1,$C$113:$C$114,0)-1,0)</f>
        <v>101.4</v>
      </c>
      <c r="H34" s="86">
        <f ca="1">122.1*OFFSET(H$113,MATCH($N$1,$C$113:$C$114,0)-1,0)</f>
        <v>122.1</v>
      </c>
      <c r="I34" s="86">
        <f ca="1">116.3*OFFSET(I$113,MATCH($N$1,$C$113:$C$114,0)-1,0)</f>
        <v>116.3</v>
      </c>
      <c r="J34" s="86">
        <f ca="1">111.9*OFFSET(J$113,MATCH($N$1,$C$113:$C$114,0)-1,0)</f>
        <v>111.9</v>
      </c>
      <c r="K34" s="86">
        <f ca="1">124*OFFSET(K$113,MATCH($N$1,$C$113:$C$114,0)-1,0)</f>
        <v>124</v>
      </c>
      <c r="L34" s="86">
        <f ca="1">71*OFFSET(L$113,MATCH($N$1,$C$113:$C$114,0)-1,0)</f>
        <v>71</v>
      </c>
      <c r="M34" s="86">
        <f ca="1">112.7*OFFSET(M$113,MATCH($N$1,$C$113:$C$114,0)-1,0)</f>
        <v>112.7</v>
      </c>
      <c r="N34" s="86">
        <v>133.30000000000001</v>
      </c>
      <c r="O34" s="84">
        <f t="shared" ca="1" si="0"/>
        <v>-1.9852941176470504E-2</v>
      </c>
      <c r="P34" s="84">
        <f t="shared" ca="1" si="1"/>
        <v>0.19124218051831998</v>
      </c>
    </row>
    <row r="35" spans="1:16" s="78" customFormat="1" ht="18" customHeight="1">
      <c r="A35" s="192"/>
      <c r="B35" s="85" t="s">
        <v>216</v>
      </c>
      <c r="C35" s="86"/>
      <c r="D35" s="86">
        <f ca="1">54.2*OFFSET(D$113,MATCH($N$1,$C$113:$C$114,0)-1,0)</f>
        <v>54.2</v>
      </c>
      <c r="E35" s="86">
        <f ca="1">53.2*OFFSET(E$113,MATCH($N$1,$C$113:$C$114,0)-1,0)</f>
        <v>53.2</v>
      </c>
      <c r="F35" s="86">
        <f ca="1">53.8*OFFSET(F$113,MATCH($N$1,$C$113:$C$114,0)-1,0)</f>
        <v>53.8</v>
      </c>
      <c r="G35" s="86">
        <f ca="1">47.9*OFFSET(G$113,MATCH($N$1,$C$113:$C$114,0)-1,0)</f>
        <v>47.9</v>
      </c>
      <c r="H35" s="86">
        <f ca="1">56.9*OFFSET(H$113,MATCH($N$1,$C$113:$C$114,0)-1,0)</f>
        <v>56.9</v>
      </c>
      <c r="I35" s="86">
        <f ca="1">49.1*OFFSET(I$113,MATCH($N$1,$C$113:$C$114,0)-1,0)</f>
        <v>49.1</v>
      </c>
      <c r="J35" s="86">
        <f ca="1">55.9*OFFSET(J$113,MATCH($N$1,$C$113:$C$114,0)-1,0)</f>
        <v>55.9</v>
      </c>
      <c r="K35" s="86">
        <f ca="1">65.4*OFFSET(K$113,MATCH($N$1,$C$113:$C$114,0)-1,0)</f>
        <v>65.400000000000006</v>
      </c>
      <c r="L35" s="86">
        <f ca="1">34.5*OFFSET(L$113,MATCH($N$1,$C$113:$C$114,0)-1,0)</f>
        <v>34.5</v>
      </c>
      <c r="M35" s="86">
        <f ca="1">61.7*OFFSET(M$113,MATCH($N$1,$C$113:$C$114,0)-1,0)</f>
        <v>61.7</v>
      </c>
      <c r="N35" s="86">
        <v>70.3</v>
      </c>
      <c r="O35" s="84">
        <f t="shared" ca="1" si="0"/>
        <v>0.29704797047970466</v>
      </c>
      <c r="P35" s="84">
        <f t="shared" ca="1" si="1"/>
        <v>0.25760286225402501</v>
      </c>
    </row>
    <row r="36" spans="1:16" s="78" customFormat="1" ht="18" customHeight="1">
      <c r="A36" s="192"/>
      <c r="B36" s="85" t="s">
        <v>217</v>
      </c>
      <c r="C36" s="86"/>
      <c r="D36" s="86">
        <f ca="1">190.2*OFFSET(D$113,MATCH($N$1,$C$113:$C$114,0)-1,0)</f>
        <v>190.2</v>
      </c>
      <c r="E36" s="86">
        <f ca="1">180.5*OFFSET(E$113,MATCH($N$1,$C$113:$C$114,0)-1,0)</f>
        <v>180.5</v>
      </c>
      <c r="F36" s="86">
        <f ca="1">178.9*OFFSET(F$113,MATCH($N$1,$C$113:$C$114,0)-1,0)</f>
        <v>178.9</v>
      </c>
      <c r="G36" s="86">
        <f ca="1">149.3*OFFSET(G$113,MATCH($N$1,$C$113:$C$114,0)-1,0)</f>
        <v>149.30000000000001</v>
      </c>
      <c r="H36" s="86">
        <f ca="1">179*OFFSET(H$113,MATCH($N$1,$C$113:$C$114,0)-1,0)</f>
        <v>179</v>
      </c>
      <c r="I36" s="86">
        <f ca="1">165.5*OFFSET(I$113,MATCH($N$1,$C$113:$C$114,0)-1,0)</f>
        <v>165.5</v>
      </c>
      <c r="J36" s="86">
        <f ca="1">167.8*OFFSET(J$113,MATCH($N$1,$C$113:$C$114,0)-1,0)</f>
        <v>167.8</v>
      </c>
      <c r="K36" s="86">
        <f ca="1">189.4*OFFSET(K$113,MATCH($N$1,$C$113:$C$114,0)-1,0)</f>
        <v>189.4</v>
      </c>
      <c r="L36" s="86">
        <f ca="1">105.5*OFFSET(L$113,MATCH($N$1,$C$113:$C$114,0)-1,0)</f>
        <v>105.5</v>
      </c>
      <c r="M36" s="86">
        <f ca="1">174.3*OFFSET(M$113,MATCH($N$1,$C$113:$C$114,0)-1,0)</f>
        <v>174.3</v>
      </c>
      <c r="N36" s="86">
        <v>203.6</v>
      </c>
      <c r="O36" s="84">
        <f t="shared" ca="1" si="0"/>
        <v>7.0452155625657237E-2</v>
      </c>
      <c r="P36" s="84">
        <f t="shared" ca="1" si="1"/>
        <v>0.21334922526817629</v>
      </c>
    </row>
    <row r="37" spans="1:16" s="78" customFormat="1" ht="18" customHeight="1">
      <c r="A37" s="192"/>
      <c r="B37" s="87" t="s">
        <v>218</v>
      </c>
      <c r="C37" s="88"/>
      <c r="D37" s="88">
        <f ca="1">109.3*OFFSET(D$113,MATCH($N$1,$C$113:$C$114,0)-1,0)</f>
        <v>109.3</v>
      </c>
      <c r="E37" s="88">
        <f ca="1">86.8*OFFSET(E$113,MATCH($N$1,$C$113:$C$114,0)-1,0)</f>
        <v>86.8</v>
      </c>
      <c r="F37" s="88">
        <f ca="1">93.2*OFFSET(F$113,MATCH($N$1,$C$113:$C$114,0)-1,0)</f>
        <v>93.2</v>
      </c>
      <c r="G37" s="88">
        <f ca="1">86.5*OFFSET(G$113,MATCH($N$1,$C$113:$C$114,0)-1,0)</f>
        <v>86.5</v>
      </c>
      <c r="H37" s="88">
        <f ca="1">113.1*OFFSET(H$113,MATCH($N$1,$C$113:$C$114,0)-1,0)</f>
        <v>113.1</v>
      </c>
      <c r="I37" s="88">
        <f ca="1">93.7*OFFSET(I$113,MATCH($N$1,$C$113:$C$114,0)-1,0)</f>
        <v>93.7</v>
      </c>
      <c r="J37" s="88">
        <f ca="1">87.1*OFFSET(J$113,MATCH($N$1,$C$113:$C$114,0)-1,0)</f>
        <v>87.1</v>
      </c>
      <c r="K37" s="88">
        <f ca="1">95.4*OFFSET(K$113,MATCH($N$1,$C$113:$C$114,0)-1,0)</f>
        <v>95.4</v>
      </c>
      <c r="L37" s="88">
        <f ca="1">54.3*OFFSET(L$113,MATCH($N$1,$C$113:$C$114,0)-1,0)</f>
        <v>54.3</v>
      </c>
      <c r="M37" s="88">
        <f ca="1">65.4*OFFSET(M$113,MATCH($N$1,$C$113:$C$114,0)-1,0)</f>
        <v>65.400000000000006</v>
      </c>
      <c r="N37" s="88">
        <v>62.8</v>
      </c>
      <c r="O37" s="84">
        <f t="shared" ca="1" si="0"/>
        <v>-0.42543458371454712</v>
      </c>
      <c r="P37" s="84">
        <f t="shared" ca="1" si="1"/>
        <v>-0.27898966704936851</v>
      </c>
    </row>
    <row r="38" spans="1:16" s="78" customFormat="1" ht="18" customHeight="1">
      <c r="A38" s="192"/>
      <c r="B38" s="87" t="s">
        <v>219</v>
      </c>
      <c r="C38" s="88"/>
      <c r="D38" s="88">
        <f ca="1">52.5*OFFSET(D$113,MATCH($N$1,$C$113:$C$114,0)-1,0)</f>
        <v>52.5</v>
      </c>
      <c r="E38" s="88">
        <f ca="1">33.3*OFFSET(E$113,MATCH($N$1,$C$113:$C$114,0)-1,0)</f>
        <v>33.299999999999997</v>
      </c>
      <c r="F38" s="88">
        <f ca="1">36.6*OFFSET(F$113,MATCH($N$1,$C$113:$C$114,0)-1,0)</f>
        <v>36.6</v>
      </c>
      <c r="G38" s="88">
        <f ca="1">36.9*OFFSET(G$113,MATCH($N$1,$C$113:$C$114,0)-1,0)</f>
        <v>36.9</v>
      </c>
      <c r="H38" s="88">
        <f ca="1">45.5*OFFSET(H$113,MATCH($N$1,$C$113:$C$114,0)-1,0)</f>
        <v>45.5</v>
      </c>
      <c r="I38" s="88">
        <f ca="1">33.3*OFFSET(I$113,MATCH($N$1,$C$113:$C$114,0)-1,0)</f>
        <v>33.299999999999997</v>
      </c>
      <c r="J38" s="88">
        <f ca="1">32.2*OFFSET(J$113,MATCH($N$1,$C$113:$C$114,0)-1,0)</f>
        <v>32.200000000000003</v>
      </c>
      <c r="K38" s="88">
        <f ca="1">36.5*OFFSET(K$113,MATCH($N$1,$C$113:$C$114,0)-1,0)</f>
        <v>36.5</v>
      </c>
      <c r="L38" s="88">
        <f ca="1">22.2*OFFSET(L$113,MATCH($N$1,$C$113:$C$114,0)-1,0)</f>
        <v>22.2</v>
      </c>
      <c r="M38" s="88">
        <f ca="1">4.9*OFFSET(M$113,MATCH($N$1,$C$113:$C$114,0)-1,0)</f>
        <v>4.9000000000000004</v>
      </c>
      <c r="N38" s="88">
        <v>-1.1000000000000001</v>
      </c>
      <c r="O38" s="84">
        <f t="shared" ca="1" si="0"/>
        <v>-1.0209523809523811</v>
      </c>
      <c r="P38" s="84">
        <f t="shared" ca="1" si="1"/>
        <v>-1.0341614906832299</v>
      </c>
    </row>
    <row r="39" spans="1:16" s="78" customFormat="1" ht="18" customHeight="1">
      <c r="A39" s="192"/>
      <c r="B39" s="85" t="s">
        <v>220</v>
      </c>
      <c r="C39" s="86"/>
      <c r="D39" s="86">
        <f ca="1">6.2*OFFSET(D$113,MATCH($N$1,$C$113:$C$114,0)-1,0)</f>
        <v>6.2</v>
      </c>
      <c r="E39" s="86">
        <f ca="1">7*OFFSET(E$113,MATCH($N$1,$C$113:$C$114,0)-1,0)</f>
        <v>7</v>
      </c>
      <c r="F39" s="86">
        <f ca="1">10.7*OFFSET(F$113,MATCH($N$1,$C$113:$C$114,0)-1,0)</f>
        <v>10.7</v>
      </c>
      <c r="G39" s="86">
        <f ca="1">9.7*OFFSET(G$113,MATCH($N$1,$C$113:$C$114,0)-1,0)</f>
        <v>9.6999999999999993</v>
      </c>
      <c r="H39" s="86">
        <f ca="1">10.8*OFFSET(H$113,MATCH($N$1,$C$113:$C$114,0)-1,0)</f>
        <v>10.8</v>
      </c>
      <c r="I39" s="86">
        <f ca="1">7.9*OFFSET(I$113,MATCH($N$1,$C$113:$C$114,0)-1,0)</f>
        <v>7.9</v>
      </c>
      <c r="J39" s="86">
        <f ca="1">10.2*OFFSET(J$113,MATCH($N$1,$C$113:$C$114,0)-1,0)</f>
        <v>10.199999999999999</v>
      </c>
      <c r="K39" s="86">
        <f ca="1">10.4*OFFSET(K$113,MATCH($N$1,$C$113:$C$114,0)-1,0)</f>
        <v>10.4</v>
      </c>
      <c r="L39" s="86">
        <f ca="1">6.7*OFFSET(L$113,MATCH($N$1,$C$113:$C$114,0)-1,0)</f>
        <v>6.7</v>
      </c>
      <c r="M39" s="86">
        <f ca="1">11.6*OFFSET(M$113,MATCH($N$1,$C$113:$C$114,0)-1,0)</f>
        <v>11.6</v>
      </c>
      <c r="N39" s="86"/>
      <c r="O39" s="84" t="str">
        <f t="shared" si="0"/>
        <v/>
      </c>
      <c r="P39" s="84" t="str">
        <f t="shared" si="1"/>
        <v/>
      </c>
    </row>
    <row r="40" spans="1:16" s="78" customFormat="1" ht="18" customHeight="1">
      <c r="A40" s="192"/>
      <c r="B40" s="85" t="s">
        <v>221</v>
      </c>
      <c r="C40" s="86"/>
      <c r="D40" s="86">
        <f ca="1">2.6*OFFSET(D$113,MATCH($N$1,$C$113:$C$114,0)-1,0)</f>
        <v>2.6</v>
      </c>
      <c r="E40" s="86">
        <f ca="1">1.7*OFFSET(E$113,MATCH($N$1,$C$113:$C$114,0)-1,0)</f>
        <v>1.7</v>
      </c>
      <c r="F40" s="86">
        <f ca="1">2.4*OFFSET(F$113,MATCH($N$1,$C$113:$C$114,0)-1,0)</f>
        <v>2.4</v>
      </c>
      <c r="G40" s="86">
        <f ca="1">2.4*OFFSET(G$113,MATCH($N$1,$C$113:$C$114,0)-1,0)</f>
        <v>2.4</v>
      </c>
      <c r="H40" s="86">
        <f ca="1">2.6*OFFSET(H$113,MATCH($N$1,$C$113:$C$114,0)-1,0)</f>
        <v>2.6</v>
      </c>
      <c r="I40" s="86">
        <f ca="1">2.3*OFFSET(I$113,MATCH($N$1,$C$113:$C$114,0)-1,0)</f>
        <v>2.2999999999999998</v>
      </c>
      <c r="J40" s="86">
        <f ca="1">1.6*OFFSET(J$113,MATCH($N$1,$C$113:$C$114,0)-1,0)</f>
        <v>1.6</v>
      </c>
      <c r="K40" s="86">
        <f ca="1">2.1*OFFSET(K$113,MATCH($N$1,$C$113:$C$114,0)-1,0)</f>
        <v>2.1</v>
      </c>
      <c r="L40" s="86">
        <f ca="1">1.3*OFFSET(L$113,MATCH($N$1,$C$113:$C$114,0)-1,0)</f>
        <v>1.3</v>
      </c>
      <c r="M40" s="86">
        <f ca="1">3.5*OFFSET(M$113,MATCH($N$1,$C$113:$C$114,0)-1,0)</f>
        <v>3.5</v>
      </c>
      <c r="N40" s="86"/>
      <c r="O40" s="84" t="str">
        <f t="shared" si="0"/>
        <v/>
      </c>
      <c r="P40" s="84" t="str">
        <f t="shared" si="1"/>
        <v/>
      </c>
    </row>
    <row r="41" spans="1:16" s="78" customFormat="1" ht="18" customHeight="1">
      <c r="A41" s="192"/>
      <c r="B41" s="85" t="s">
        <v>222</v>
      </c>
      <c r="C41" s="86"/>
      <c r="D41" s="86">
        <f ca="1">3.2*OFFSET(D$113,MATCH($N$1,$C$113:$C$114,0)-1,0)</f>
        <v>3.2</v>
      </c>
      <c r="E41" s="86">
        <f ca="1">0.9*OFFSET(E$113,MATCH($N$1,$C$113:$C$114,0)-1,0)</f>
        <v>0.9</v>
      </c>
      <c r="F41" s="86">
        <f ca="1">6.7*OFFSET(F$113,MATCH($N$1,$C$113:$C$114,0)-1,0)</f>
        <v>6.7</v>
      </c>
      <c r="G41" s="86">
        <f ca="1">1*OFFSET(G$113,MATCH($N$1,$C$113:$C$114,0)-1,0)</f>
        <v>1</v>
      </c>
      <c r="H41" s="86">
        <f ca="1">0.7*OFFSET(H$113,MATCH($N$1,$C$113:$C$114,0)-1,0)</f>
        <v>0.7</v>
      </c>
      <c r="I41" s="86">
        <f ca="1">4.4*OFFSET(I$113,MATCH($N$1,$C$113:$C$114,0)-1,0)</f>
        <v>4.4000000000000004</v>
      </c>
      <c r="J41" s="86">
        <f ca="1">1.4*OFFSET(J$113,MATCH($N$1,$C$113:$C$114,0)-1,0)</f>
        <v>1.4</v>
      </c>
      <c r="K41" s="86">
        <f ca="1">1*OFFSET(K$113,MATCH($N$1,$C$113:$C$114,0)-1,0)</f>
        <v>1</v>
      </c>
      <c r="L41" s="86">
        <f ca="1">1*OFFSET(L$113,MATCH($N$1,$C$113:$C$114,0)-1,0)</f>
        <v>1</v>
      </c>
      <c r="M41" s="86">
        <f ca="1">0.3*OFFSET(M$113,MATCH($N$1,$C$113:$C$114,0)-1,0)</f>
        <v>0.3</v>
      </c>
      <c r="N41" s="86"/>
      <c r="O41" s="84" t="str">
        <f t="shared" si="0"/>
        <v/>
      </c>
      <c r="P41" s="84" t="str">
        <f t="shared" si="1"/>
        <v/>
      </c>
    </row>
    <row r="42" spans="1:16" s="78" customFormat="1" ht="18" customHeight="1" thickBot="1">
      <c r="A42" s="193"/>
      <c r="B42" s="89" t="s">
        <v>223</v>
      </c>
      <c r="C42" s="90"/>
      <c r="D42" s="90">
        <f ca="1">40.5*OFFSET(D$113,MATCH($N$1,$C$113:$C$114,0)-1,0)</f>
        <v>40.5</v>
      </c>
      <c r="E42" s="90">
        <f ca="1">23.6*OFFSET(E$113,MATCH($N$1,$C$113:$C$114,0)-1,0)</f>
        <v>23.6</v>
      </c>
      <c r="F42" s="90">
        <f ca="1">16.9*OFFSET(F$113,MATCH($N$1,$C$113:$C$114,0)-1,0)</f>
        <v>16.899999999999999</v>
      </c>
      <c r="G42" s="90">
        <f ca="1">23.8*OFFSET(G$113,MATCH($N$1,$C$113:$C$114,0)-1,0)</f>
        <v>23.8</v>
      </c>
      <c r="H42" s="90">
        <f ca="1">31.4*OFFSET(H$113,MATCH($N$1,$C$113:$C$114,0)-1,0)</f>
        <v>31.4</v>
      </c>
      <c r="I42" s="90">
        <f ca="1">18.7*OFFSET(I$113,MATCH($N$1,$C$113:$C$114,0)-1,0)</f>
        <v>18.7</v>
      </c>
      <c r="J42" s="90">
        <f ca="1">19.1*OFFSET(J$113,MATCH($N$1,$C$113:$C$114,0)-1,0)</f>
        <v>19.100000000000001</v>
      </c>
      <c r="K42" s="90">
        <f ca="1">22.9*OFFSET(K$113,MATCH($N$1,$C$113:$C$114,0)-1,0)</f>
        <v>22.9</v>
      </c>
      <c r="L42" s="90">
        <f ca="1">13.2*OFFSET(L$113,MATCH($N$1,$C$113:$C$114,0)-1,0)</f>
        <v>13.2</v>
      </c>
      <c r="M42" s="90">
        <f ca="1">-10.4*OFFSET(M$113,MATCH($N$1,$C$113:$C$114,0)-1,0)</f>
        <v>-10.4</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158</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WOS nephrops under 250kW</v>
      </c>
      <c r="C49" s="101"/>
      <c r="D49" s="101"/>
      <c r="E49" s="101"/>
      <c r="F49" s="101"/>
      <c r="G49" s="101"/>
      <c r="K49" s="101" t="str">
        <f>$B25&amp;CHAR(10)&amp;$A$1</f>
        <v>Operating profit per kW day at sea (£)
WOS nephrops under 250kW</v>
      </c>
    </row>
    <row r="50" spans="1:11" s="78" customFormat="1">
      <c r="A50" s="101" t="str">
        <f>$B23&amp;CHAR(10)&amp;$A$1</f>
        <v>Fishing income per kW day at sea (£)
WOS nephrops under 250kW</v>
      </c>
    </row>
    <row r="51" spans="1:11" s="78" customFormat="1">
      <c r="A51" s="101" t="str">
        <f>$B21&amp;CHAR(10)&amp;$A$1</f>
        <v>Average price per tonne landed (£)
WOS nephrops under 250kW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WOS nephrops under 250kW</v>
      </c>
      <c r="F63" s="101" t="str">
        <f>$B21&amp;CHAR(10)&amp;$A$1</f>
        <v>Average price per tonne landed (£)
WOS nephrops under 250kW</v>
      </c>
      <c r="K63" s="101" t="str">
        <f>"Average annual operating profit per vessel (£'000)"&amp;CHAR(10)&amp;$A$1</f>
        <v>Average annual operating profit per vessel (£'000)
WOS nephrops under 250kW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WOS nephrops under 250kW</v>
      </c>
      <c r="F77" s="101" t="str">
        <f>"Top 5 landed species by value in "&amp;A78&amp;CHAR(10)&amp;A1</f>
        <v>Top 5 landed species by value in 2021
WOS nephrops under 250kW</v>
      </c>
    </row>
    <row r="78" spans="1:11" s="101" customFormat="1">
      <c r="A78" s="101">
        <v>2021</v>
      </c>
      <c r="B78" s="101" t="s">
        <v>638</v>
      </c>
      <c r="C78" s="102">
        <v>0.96013404891137866</v>
      </c>
      <c r="D78" s="103">
        <v>12153634</v>
      </c>
      <c r="G78" s="101" t="s">
        <v>639</v>
      </c>
      <c r="H78" s="102">
        <v>0.97455669299414416</v>
      </c>
      <c r="I78" s="103">
        <v>12153634</v>
      </c>
      <c r="K78" s="101" t="s">
        <v>237</v>
      </c>
    </row>
    <row r="79" spans="1:11" s="101" customFormat="1">
      <c r="B79" s="101" t="s">
        <v>640</v>
      </c>
      <c r="C79" s="102">
        <v>2.2154963064173038E-2</v>
      </c>
      <c r="D79" s="103">
        <v>3050596</v>
      </c>
      <c r="G79" s="101" t="s">
        <v>641</v>
      </c>
      <c r="H79" s="102">
        <v>9.7353969072463114E-3</v>
      </c>
      <c r="I79" s="103">
        <v>553960</v>
      </c>
    </row>
    <row r="80" spans="1:11" s="101" customFormat="1">
      <c r="B80" s="101" t="s">
        <v>642</v>
      </c>
      <c r="C80" s="102">
        <v>5.3124662869681819E-3</v>
      </c>
      <c r="D80" s="103">
        <v>553960</v>
      </c>
      <c r="G80" s="101" t="s">
        <v>643</v>
      </c>
      <c r="H80" s="102">
        <v>6.6323420724005997E-3</v>
      </c>
      <c r="I80" s="103">
        <v>3050596</v>
      </c>
    </row>
    <row r="81" spans="1:19" s="101" customFormat="1">
      <c r="B81" s="101" t="s">
        <v>644</v>
      </c>
      <c r="C81" s="102">
        <v>4.5067534379843776E-3</v>
      </c>
      <c r="D81" s="103">
        <v>1692097</v>
      </c>
      <c r="G81" s="101" t="s">
        <v>645</v>
      </c>
      <c r="H81" s="102">
        <v>4.2015002290426021E-3</v>
      </c>
      <c r="I81" s="103">
        <v>1692097</v>
      </c>
    </row>
    <row r="82" spans="1:19" s="101" customFormat="1">
      <c r="B82" s="101" t="s">
        <v>646</v>
      </c>
      <c r="C82" s="102">
        <v>1.6295279036130377E-3</v>
      </c>
      <c r="D82" s="103">
        <v>3689192</v>
      </c>
      <c r="G82" s="101" t="s">
        <v>647</v>
      </c>
      <c r="H82" s="102">
        <v>8.0273369409119037E-4</v>
      </c>
      <c r="I82" s="103">
        <v>3689192</v>
      </c>
    </row>
    <row r="83" spans="1:19" s="101" customFormat="1">
      <c r="B83" s="101" t="s">
        <v>648</v>
      </c>
      <c r="C83" s="102">
        <v>6.2622403958827455E-3</v>
      </c>
      <c r="D83" s="103">
        <v>5920853</v>
      </c>
      <c r="G83" s="101" t="s">
        <v>649</v>
      </c>
      <c r="H83" s="102">
        <v>4.0713341030750305E-3</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0.95642993523267572</v>
      </c>
      <c r="E93" s="107">
        <v>0.97638166235546109</v>
      </c>
      <c r="F93" s="107">
        <v>0.97741443134295813</v>
      </c>
      <c r="G93" s="107">
        <v>0.97618976902922794</v>
      </c>
      <c r="H93" s="107">
        <v>0.96549998264429027</v>
      </c>
      <c r="I93" s="107">
        <v>0.96408525618343599</v>
      </c>
      <c r="J93" s="107">
        <v>0.95675579344801076</v>
      </c>
      <c r="K93" s="107">
        <v>0.93222739631306906</v>
      </c>
      <c r="L93" s="107">
        <v>0.97455669299414416</v>
      </c>
      <c r="M93" s="107">
        <v>0.97667339182282453</v>
      </c>
      <c r="O93" s="101">
        <v>12153634</v>
      </c>
    </row>
    <row r="94" spans="1:19" s="101" customFormat="1" hidden="1">
      <c r="B94" s="101">
        <v>2</v>
      </c>
      <c r="C94" s="101" t="s">
        <v>181</v>
      </c>
      <c r="D94" s="107">
        <v>3.7594886197009972E-3</v>
      </c>
      <c r="E94" s="107"/>
      <c r="F94" s="107"/>
      <c r="G94" s="107">
        <v>2.928563782190894E-3</v>
      </c>
      <c r="H94" s="107">
        <v>7.9936219725133765E-3</v>
      </c>
      <c r="I94" s="107">
        <v>5.5430186986126766E-3</v>
      </c>
      <c r="J94" s="107">
        <v>1.1684202946302203E-2</v>
      </c>
      <c r="K94" s="107">
        <v>2.8282472458992604E-2</v>
      </c>
      <c r="L94" s="107">
        <v>9.7353969072463114E-3</v>
      </c>
      <c r="M94" s="107">
        <v>6.419819636671268E-3</v>
      </c>
      <c r="O94" s="101">
        <v>553960</v>
      </c>
    </row>
    <row r="95" spans="1:19" s="101" customFormat="1" hidden="1">
      <c r="B95" s="101">
        <v>3</v>
      </c>
      <c r="C95" s="101" t="s">
        <v>249</v>
      </c>
      <c r="D95" s="107">
        <v>7.5278379966742786E-3</v>
      </c>
      <c r="E95" s="107"/>
      <c r="F95" s="107"/>
      <c r="G95" s="107"/>
      <c r="H95" s="107"/>
      <c r="I95" s="107"/>
      <c r="J95" s="107"/>
      <c r="K95" s="107"/>
      <c r="L95" s="107">
        <v>6.6323420724005997E-3</v>
      </c>
      <c r="M95" s="107">
        <v>2.4059957561643371E-3</v>
      </c>
      <c r="O95" s="101">
        <v>3050596</v>
      </c>
    </row>
    <row r="96" spans="1:19" s="101" customFormat="1" hidden="1">
      <c r="B96" s="101">
        <v>4</v>
      </c>
      <c r="C96" s="101" t="s">
        <v>174</v>
      </c>
      <c r="D96" s="107"/>
      <c r="E96" s="107">
        <v>3.4221695504747613E-3</v>
      </c>
      <c r="F96" s="107">
        <v>2.9480861338771801E-3</v>
      </c>
      <c r="G96" s="107">
        <v>4.1063303031282292E-3</v>
      </c>
      <c r="H96" s="107">
        <v>8.2183767819332208E-3</v>
      </c>
      <c r="I96" s="107">
        <v>1.082066561268367E-2</v>
      </c>
      <c r="J96" s="107"/>
      <c r="K96" s="107">
        <v>3.7058274146666266E-3</v>
      </c>
      <c r="L96" s="107">
        <v>4.2015002290426021E-3</v>
      </c>
      <c r="M96" s="107">
        <v>4.9968712183518626E-3</v>
      </c>
      <c r="O96" s="101">
        <v>1692097</v>
      </c>
    </row>
    <row r="97" spans="1:15" s="101" customFormat="1" hidden="1">
      <c r="B97" s="101">
        <v>5</v>
      </c>
      <c r="C97" s="101" t="s">
        <v>156</v>
      </c>
      <c r="D97" s="107"/>
      <c r="E97" s="107"/>
      <c r="F97" s="107">
        <v>1.5410572834852749E-3</v>
      </c>
      <c r="G97" s="107"/>
      <c r="H97" s="107"/>
      <c r="I97" s="107"/>
      <c r="J97" s="107"/>
      <c r="K97" s="107"/>
      <c r="L97" s="107">
        <v>8.0273369409119037E-4</v>
      </c>
      <c r="M97" s="107"/>
      <c r="O97" s="101">
        <v>3689192</v>
      </c>
    </row>
    <row r="98" spans="1:15" s="101" customFormat="1" hidden="1">
      <c r="B98" s="101">
        <v>6</v>
      </c>
      <c r="C98" s="101" t="s">
        <v>176</v>
      </c>
      <c r="D98" s="107">
        <v>1.299499445453184E-2</v>
      </c>
      <c r="E98" s="107">
        <v>3.8541152834509085E-3</v>
      </c>
      <c r="F98" s="107">
        <v>9.3501579401829536E-3</v>
      </c>
      <c r="G98" s="107">
        <v>9.4301408584274125E-3</v>
      </c>
      <c r="H98" s="107">
        <v>9.4030546310336811E-3</v>
      </c>
      <c r="I98" s="107">
        <v>9.1791442667017876E-3</v>
      </c>
      <c r="J98" s="107">
        <v>1.2980922755408013E-2</v>
      </c>
      <c r="K98" s="107">
        <v>2.6425615271013756E-2</v>
      </c>
      <c r="L98" s="107"/>
      <c r="M98" s="107">
        <v>6.9901308375123466E-3</v>
      </c>
      <c r="O98" s="101">
        <v>11115023</v>
      </c>
    </row>
    <row r="99" spans="1:15" s="101" customFormat="1" hidden="1">
      <c r="B99" s="101">
        <v>7</v>
      </c>
      <c r="C99" s="101" t="s">
        <v>161</v>
      </c>
      <c r="D99" s="107"/>
      <c r="E99" s="107">
        <v>4.6151376590610263E-3</v>
      </c>
      <c r="F99" s="107">
        <v>3.5332638565793708E-3</v>
      </c>
      <c r="G99" s="107">
        <v>2.4652995102490125E-3</v>
      </c>
      <c r="H99" s="107">
        <v>2.9927061524866231E-3</v>
      </c>
      <c r="I99" s="107">
        <v>5.1005529324523891E-3</v>
      </c>
      <c r="J99" s="107">
        <v>4.1775407142161467E-3</v>
      </c>
      <c r="K99" s="107">
        <v>3.1647886059619186E-3</v>
      </c>
      <c r="L99" s="107"/>
      <c r="M99" s="107"/>
      <c r="O99" s="101">
        <v>2480382</v>
      </c>
    </row>
    <row r="100" spans="1:15" s="101" customFormat="1" hidden="1">
      <c r="B100" s="101">
        <v>8</v>
      </c>
      <c r="C100" s="101" t="s">
        <v>172</v>
      </c>
      <c r="D100" s="107"/>
      <c r="E100" s="107"/>
      <c r="F100" s="107"/>
      <c r="G100" s="107"/>
      <c r="H100" s="107"/>
      <c r="I100" s="107"/>
      <c r="J100" s="107">
        <v>5.3353492931610064E-3</v>
      </c>
      <c r="K100" s="107"/>
      <c r="L100" s="107"/>
      <c r="M100" s="107"/>
      <c r="O100" s="101">
        <v>7434864</v>
      </c>
    </row>
    <row r="101" spans="1:15" s="101" customFormat="1" hidden="1">
      <c r="B101" s="101">
        <v>9</v>
      </c>
      <c r="C101" s="101" t="s">
        <v>321</v>
      </c>
      <c r="D101" s="107"/>
      <c r="E101" s="107">
        <v>2.12054132636767E-3</v>
      </c>
      <c r="F101" s="107"/>
      <c r="G101" s="107"/>
      <c r="H101" s="107"/>
      <c r="I101" s="107"/>
      <c r="J101" s="107"/>
      <c r="K101" s="107"/>
      <c r="L101" s="107"/>
      <c r="M101" s="107"/>
      <c r="O101" s="101">
        <v>8497745</v>
      </c>
    </row>
    <row r="102" spans="1:15" s="101" customFormat="1" hidden="1">
      <c r="B102" s="101">
        <v>10</v>
      </c>
      <c r="C102" s="101" t="s">
        <v>182</v>
      </c>
      <c r="D102" s="107">
        <v>5.2567045762981542E-3</v>
      </c>
      <c r="E102" s="107"/>
      <c r="F102" s="107"/>
      <c r="G102" s="107"/>
      <c r="H102" s="107"/>
      <c r="I102" s="107"/>
      <c r="J102" s="107"/>
      <c r="K102" s="107"/>
      <c r="L102" s="107"/>
      <c r="M102" s="107"/>
      <c r="O102" s="101">
        <v>14393110</v>
      </c>
    </row>
    <row r="103" spans="1:15" s="101" customFormat="1" hidden="1">
      <c r="B103" s="101">
        <v>11</v>
      </c>
      <c r="C103" s="101" t="s">
        <v>251</v>
      </c>
      <c r="D103" s="107">
        <v>1.4031039120119052E-2</v>
      </c>
      <c r="E103" s="107">
        <v>9.6063738251845401E-3</v>
      </c>
      <c r="F103" s="107">
        <v>5.2130034429170719E-3</v>
      </c>
      <c r="G103" s="107">
        <v>4.8798965167765451E-3</v>
      </c>
      <c r="H103" s="107">
        <v>5.8922578177428705E-3</v>
      </c>
      <c r="I103" s="107">
        <v>5.2713623061134782E-3</v>
      </c>
      <c r="J103" s="107">
        <v>9.0661908429018733E-3</v>
      </c>
      <c r="K103" s="107">
        <v>6.1938999362960816E-3</v>
      </c>
      <c r="L103" s="107">
        <v>4.071334103075178E-3</v>
      </c>
      <c r="M103" s="107">
        <v>2.5137907284756601E-3</v>
      </c>
      <c r="O103" s="101">
        <v>5920853</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12</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14</v>
      </c>
      <c r="D121" s="52">
        <v>27</v>
      </c>
      <c r="E121" s="52">
        <v>14</v>
      </c>
      <c r="F121" s="53">
        <v>55</v>
      </c>
    </row>
    <row r="122" spans="1:15" ht="18" customHeight="1">
      <c r="A122" s="186" t="s">
        <v>198</v>
      </c>
      <c r="B122" s="35" t="s">
        <v>199</v>
      </c>
      <c r="C122" s="54">
        <v>13.92642879486084</v>
      </c>
      <c r="D122" s="54">
        <v>15.391851495813441</v>
      </c>
      <c r="E122" s="54">
        <v>15.728570938110352</v>
      </c>
      <c r="F122" s="55">
        <v>15.104545593261719</v>
      </c>
    </row>
    <row r="123" spans="1:15" ht="18" customHeight="1">
      <c r="A123" s="187"/>
      <c r="B123" s="37" t="s">
        <v>190</v>
      </c>
      <c r="C123" s="56">
        <v>155.14285278320313</v>
      </c>
      <c r="D123" s="56">
        <v>183.92592592592592</v>
      </c>
      <c r="E123" s="56">
        <v>179.78572082519531</v>
      </c>
      <c r="F123" s="57">
        <v>175.54545593261719</v>
      </c>
    </row>
    <row r="124" spans="1:15" ht="18" customHeight="1">
      <c r="A124" s="187"/>
      <c r="B124" s="37" t="s">
        <v>191</v>
      </c>
      <c r="C124" s="56">
        <v>32.857143402099609</v>
      </c>
      <c r="D124" s="56">
        <v>44.925925360785591</v>
      </c>
      <c r="E124" s="56">
        <v>41.357143402099609</v>
      </c>
      <c r="F124" s="57">
        <v>40.945453643798828</v>
      </c>
    </row>
    <row r="125" spans="1:15" ht="18" customHeight="1">
      <c r="A125" s="187"/>
      <c r="B125" s="37" t="s">
        <v>192</v>
      </c>
      <c r="C125" s="56">
        <v>141.95632934570313</v>
      </c>
      <c r="D125" s="56">
        <v>165.13938225640192</v>
      </c>
      <c r="E125" s="56">
        <v>165.74423217773438</v>
      </c>
      <c r="F125" s="57">
        <v>159.39219665527344</v>
      </c>
    </row>
    <row r="126" spans="1:15" ht="18" customHeight="1">
      <c r="A126" s="187"/>
      <c r="B126" s="37" t="s">
        <v>193</v>
      </c>
      <c r="C126" s="33">
        <v>74.900871276855469</v>
      </c>
      <c r="D126" s="33">
        <v>80.105507179542826</v>
      </c>
      <c r="E126" s="33">
        <v>51.550212860107422</v>
      </c>
      <c r="F126" s="58">
        <v>71.512069702148438</v>
      </c>
    </row>
    <row r="127" spans="1:15" ht="18" customHeight="1">
      <c r="A127" s="187"/>
      <c r="B127" s="37" t="s">
        <v>200</v>
      </c>
      <c r="C127" s="33">
        <f ca="1">193.826359375*OFFSET($L$113,MATCH($N$1,$C$113:$C$114,0)-1,0)</f>
        <v>193.82635937500001</v>
      </c>
      <c r="D127" s="33">
        <f ca="1">192.934263888889*OFFSET($L$113,MATCH($N$1,$C$113:$C$114,0)-1,0)</f>
        <v>192.93426388888901</v>
      </c>
      <c r="E127" s="33">
        <f ca="1">108.883640625*OFFSET($L$113,MATCH($N$1,$C$113:$C$114,0)-1,0)</f>
        <v>108.883640625</v>
      </c>
      <c r="F127" s="58">
        <f ca="1">171.766640625*OFFSET($L$113,MATCH($N$1,$C$113:$C$114,0)-1,0)</f>
        <v>171.76664062500001</v>
      </c>
    </row>
    <row r="128" spans="1:15" ht="18" customHeight="1">
      <c r="A128" s="187"/>
      <c r="B128" s="37" t="s">
        <v>195</v>
      </c>
      <c r="C128" s="56">
        <v>147.14285278320313</v>
      </c>
      <c r="D128" s="56">
        <v>152.85185185185185</v>
      </c>
      <c r="E128" s="56">
        <v>141.64285278320313</v>
      </c>
      <c r="F128" s="57">
        <v>148.54545593261719</v>
      </c>
    </row>
    <row r="129" spans="1:15" ht="18" customHeight="1">
      <c r="A129" s="187"/>
      <c r="B129" s="37" t="s">
        <v>201</v>
      </c>
      <c r="C129" s="56">
        <v>37.642856597900391</v>
      </c>
      <c r="D129" s="56">
        <v>42.888887617323135</v>
      </c>
      <c r="E129" s="56">
        <v>44.071430206298828</v>
      </c>
      <c r="F129" s="57">
        <v>41.854545593261719</v>
      </c>
    </row>
    <row r="130" spans="1:15" ht="18" customHeight="1">
      <c r="A130" s="187"/>
      <c r="B130" s="37" t="s">
        <v>202</v>
      </c>
      <c r="C130" s="59">
        <v>0.50903505086898804</v>
      </c>
      <c r="D130" s="59">
        <v>0.52407286015208543</v>
      </c>
      <c r="E130" s="59">
        <v>0.36394503712654114</v>
      </c>
      <c r="F130" s="60">
        <v>0.48141539096832275</v>
      </c>
    </row>
    <row r="131" spans="1:15" ht="18" customHeight="1">
      <c r="A131" s="188"/>
      <c r="B131" s="39" t="s">
        <v>203</v>
      </c>
      <c r="C131" s="40">
        <f ca="1">2587.77175846942*OFFSET($L$113,MATCH($N$1,$C$113:$C$114,0)-1,0)</f>
        <v>2587.7717584694201</v>
      </c>
      <c r="D131" s="40">
        <f ca="1">2408.50187061995*OFFSET($L$113,MATCH($N$1,$C$113:$C$114,0)-1,0)</f>
        <v>2408.5018706199498</v>
      </c>
      <c r="E131" s="40">
        <f ca="1">2112.18605285839*OFFSET($L$113,MATCH($N$1,$C$113:$C$114,0)-1,0)</f>
        <v>2112.1860528583902</v>
      </c>
      <c r="F131" s="61">
        <f ca="1">2402*OFFSET($L$113,MATCH($N$1,$C$113:$C$114,0)-1,0)</f>
        <v>2402</v>
      </c>
    </row>
    <row r="132" spans="1:15" ht="18" customHeight="1">
      <c r="A132" s="198" t="s">
        <v>204</v>
      </c>
      <c r="B132" s="35" t="s">
        <v>205</v>
      </c>
      <c r="C132" s="62">
        <v>3.1904034516060356</v>
      </c>
      <c r="D132" s="62">
        <v>2.8380600530849001</v>
      </c>
      <c r="E132" s="62">
        <v>2.0618258495204409</v>
      </c>
      <c r="F132" s="63">
        <v>2.7298565909675845</v>
      </c>
    </row>
    <row r="133" spans="1:15" ht="18" customHeight="1">
      <c r="A133" s="199"/>
      <c r="B133" s="37" t="s">
        <v>206</v>
      </c>
      <c r="C133" s="59">
        <f ca="1">8.25603595018946*OFFSET($L$113,MATCH($N$1,$C$113:$C$114,0)-1,0)</f>
        <v>8.2560359501894602</v>
      </c>
      <c r="D133" s="59">
        <f ca="1">6.83547294678674*OFFSET($L$113,MATCH($N$1,$C$113:$C$114,0)-1,0)</f>
        <v>6.8354729467867399</v>
      </c>
      <c r="E133" s="59">
        <f ca="1">4.35495980277997*OFFSET($L$113,MATCH($N$1,$C$113:$C$114,0)-1,0)</f>
        <v>4.3549598027799696</v>
      </c>
      <c r="F133" s="60">
        <f ca="1">6.55691127346059*OFFSET($L$113,MATCH($N$1,$C$113:$C$114,0)-1,0)</f>
        <v>6.5569112734605897</v>
      </c>
    </row>
    <row r="134" spans="1:15" ht="18" customHeight="1">
      <c r="A134" s="199"/>
      <c r="B134" s="37" t="s">
        <v>153</v>
      </c>
      <c r="C134" s="59">
        <f ca="1">7.43347719964756*OFFSET($L$113,MATCH($N$1,$C$113:$C$114,0)-1,0)</f>
        <v>7.4334771996475597</v>
      </c>
      <c r="D134" s="59">
        <f ca="1">6.65106359810437*OFFSET($L$113,MATCH($N$1,$C$113:$C$114,0)-1,0)</f>
        <v>6.6510635981043702</v>
      </c>
      <c r="E134" s="59">
        <f ca="1">4.75148521998129*OFFSET($L$113,MATCH($N$1,$C$113:$C$114,0)-1,0)</f>
        <v>4.7514852199812898</v>
      </c>
      <c r="F134" s="60">
        <f ca="1">6.36806016361464*OFFSET($L$113,MATCH($N$1,$C$113:$C$114,0)-1,0)</f>
        <v>6.3680601636146399</v>
      </c>
    </row>
    <row r="135" spans="1:15" ht="18" customHeight="1">
      <c r="A135" s="200"/>
      <c r="B135" s="39" t="s">
        <v>154</v>
      </c>
      <c r="C135" s="64">
        <f ca="1">0.822558750541901*OFFSET($L$113,MATCH($N$1,$C$113:$C$114,0)-1,0)</f>
        <v>0.82255875054190097</v>
      </c>
      <c r="D135" s="64">
        <f ca="1">0.184409348682371*OFFSET($L$113,MATCH($N$1,$C$113:$C$114,0)-1,0)</f>
        <v>0.18440934868237099</v>
      </c>
      <c r="E135" s="64">
        <f ca="1">-0.39652541720132*OFFSET($L$113,MATCH($N$1,$C$113:$C$114,0)-1,0)</f>
        <v>-0.39652541720132001</v>
      </c>
      <c r="F135" s="65">
        <f ca="1">0.188851109845956*OFFSET($L$113,MATCH($N$1,$C$113:$C$114,0)-1,0)</f>
        <v>0.18885110984595599</v>
      </c>
    </row>
    <row r="136" spans="1:15" ht="18" customHeight="1">
      <c r="A136" s="201" t="s">
        <v>260</v>
      </c>
      <c r="B136" s="37" t="s">
        <v>261</v>
      </c>
      <c r="C136" s="66">
        <f ca="1">24.58261328125*OFFSET($L$113,MATCH($N$1,$C$113:$C$114,0)-1,0)</f>
        <v>24.582613281250001</v>
      </c>
      <c r="D136" s="66">
        <f ca="1">32.5071859085648*OFFSET($L$113,MATCH($N$1,$C$113:$C$114,0)-1,0)</f>
        <v>32.5071859085648</v>
      </c>
      <c r="E136" s="66">
        <f ca="1">31.1971328125*OFFSET($L$113,MATCH($N$1,$C$113:$C$114,0)-1,0)</f>
        <v>31.197132812500001</v>
      </c>
      <c r="F136" s="67">
        <f ca="1">30.1565546875*OFFSET($L$113,MATCH($N$1,$C$113:$C$114,0)-1,0)</f>
        <v>30.156554687500002</v>
      </c>
    </row>
    <row r="137" spans="1:15" ht="18" customHeight="1">
      <c r="A137" s="202"/>
      <c r="B137" s="37" t="s">
        <v>262</v>
      </c>
      <c r="C137" s="31">
        <v>51757.139231011271</v>
      </c>
      <c r="D137" s="31">
        <v>68423.702909316737</v>
      </c>
      <c r="E137" s="31">
        <v>65785.713477225974</v>
      </c>
      <c r="F137" s="68">
        <v>63509.818181818184</v>
      </c>
    </row>
    <row r="138" spans="1:15" ht="18" customHeight="1">
      <c r="A138" s="202"/>
      <c r="B138" s="37" t="s">
        <v>263</v>
      </c>
      <c r="C138" s="31">
        <v>351.74755859375</v>
      </c>
      <c r="D138" s="31">
        <v>447.64719615981386</v>
      </c>
      <c r="E138" s="31">
        <v>464.44781494140625</v>
      </c>
      <c r="F138" s="68">
        <v>427.544677734375</v>
      </c>
    </row>
    <row r="139" spans="1:15" ht="18" customHeight="1">
      <c r="A139" s="202"/>
      <c r="B139" s="37" t="s">
        <v>264</v>
      </c>
      <c r="C139" s="31">
        <f ca="1">167.066308803116*OFFSET($L$113,MATCH($N$1,$C$113:$C$114,0)-1,0)</f>
        <v>167.06630880311599</v>
      </c>
      <c r="D139" s="31">
        <f ca="1">212.671194458747*OFFSET($L$113,MATCH($N$1,$C$113:$C$114,0)-1,0)</f>
        <v>212.67119445874701</v>
      </c>
      <c r="E139" s="31">
        <f ca="1">220.252079081251*OFFSET($L$113,MATCH($N$1,$C$113:$C$114,0)-1,0)</f>
        <v>220.252079081251</v>
      </c>
      <c r="F139" s="68">
        <f ca="1">203.012300162043*OFFSET($L$113,MATCH($N$1,$C$113:$C$114,0)-1,0)</f>
        <v>203.012300162043</v>
      </c>
      <c r="I139" s="43"/>
      <c r="L139" s="69" t="str">
        <f>C120</f>
        <v>Most
profitable
quartile</v>
      </c>
      <c r="M139" s="69" t="str">
        <f>D120</f>
        <v>Middle
two quartiles</v>
      </c>
      <c r="N139" s="69" t="str">
        <f>E120</f>
        <v>Least
profitable
quartile</v>
      </c>
      <c r="O139" s="69"/>
    </row>
    <row r="140" spans="1:15" ht="18" customHeight="1">
      <c r="A140" s="202"/>
      <c r="B140" s="37" t="s">
        <v>265</v>
      </c>
      <c r="C140" s="31">
        <f ca="1">328.201966975598*OFFSET($L$113,MATCH($N$1,$C$113:$C$114,0)-1,0)</f>
        <v>328.201966975598</v>
      </c>
      <c r="D140" s="31">
        <f ca="1">405.8046325792*OFFSET($L$113,MATCH($N$1,$C$113:$C$114,0)-1,0)</f>
        <v>405.80463257920002</v>
      </c>
      <c r="E140" s="31">
        <f ca="1">605.179514916071*OFFSET($L$113,MATCH($N$1,$C$113:$C$114,0)-1,0)</f>
        <v>605.17951491607096</v>
      </c>
      <c r="F140" s="68">
        <f ca="1">421.698809908644*OFFSET($L$113,MATCH($N$1,$C$113:$C$114,0)-1,0)</f>
        <v>421.69880990864402</v>
      </c>
      <c r="I140" s="43"/>
      <c r="K140" s="69" t="s">
        <v>266</v>
      </c>
      <c r="L140" s="70">
        <f t="shared" ref="L140:M142" ca="1" si="2">C141</f>
        <v>206.56359375</v>
      </c>
      <c r="M140" s="70">
        <f t="shared" ca="1" si="2"/>
        <v>199.63335590277799</v>
      </c>
      <c r="N140" s="70">
        <f ca="1">E141</f>
        <v>112.66430468750001</v>
      </c>
      <c r="O140" s="70"/>
    </row>
    <row r="141" spans="1:15" ht="18" customHeight="1">
      <c r="A141" s="179" t="s">
        <v>267</v>
      </c>
      <c r="B141" s="35" t="s">
        <v>268</v>
      </c>
      <c r="C141" s="71">
        <f ca="1">206.56359375*OFFSET($L$113,MATCH($N$1,$C$113:$C$114,0)-1,0)</f>
        <v>206.56359375</v>
      </c>
      <c r="D141" s="71">
        <f ca="1">199.633355902778*OFFSET($L$113,MATCH($N$1,$C$113:$C$114,0)-1,0)</f>
        <v>199.63335590277799</v>
      </c>
      <c r="E141" s="71">
        <f ca="1">112.6643046875*OFFSET($L$113,MATCH($N$1,$C$113:$C$114,0)-1,0)</f>
        <v>112.66430468750001</v>
      </c>
      <c r="F141" s="72">
        <f ca="1">179.25984375*OFFSET($L$113,MATCH($N$1,$C$113:$C$114,0)-1,0)</f>
        <v>179.25984374999999</v>
      </c>
      <c r="I141" s="43"/>
      <c r="K141" s="69" t="s">
        <v>269</v>
      </c>
      <c r="L141" s="70">
        <f t="shared" ca="1" si="2"/>
        <v>187.25243750000001</v>
      </c>
      <c r="M141" s="70">
        <f t="shared" ca="1" si="2"/>
        <v>194.42832002314799</v>
      </c>
      <c r="N141" s="70">
        <f ca="1">E142</f>
        <v>122.5783203125</v>
      </c>
      <c r="O141" s="70"/>
    </row>
    <row r="142" spans="1:15" ht="18" customHeight="1">
      <c r="A142" s="180"/>
      <c r="B142" s="37" t="s">
        <v>270</v>
      </c>
      <c r="C142" s="31">
        <f ca="1">187.2524375*OFFSET($L$113,MATCH($N$1,$C$113:$C$114,0)-1,0)</f>
        <v>187.25243750000001</v>
      </c>
      <c r="D142" s="31">
        <f ca="1">194.428320023148*OFFSET($L$113,MATCH($N$1,$C$113:$C$114,0)-1,0)</f>
        <v>194.42832002314799</v>
      </c>
      <c r="E142" s="31">
        <f ca="1">122.5783203125*OFFSET($L$113,MATCH($N$1,$C$113:$C$114,0)-1,0)</f>
        <v>122.5783203125</v>
      </c>
      <c r="F142" s="68">
        <f ca="1">174.312640625*OFFSET($L$113,MATCH($N$1,$C$113:$C$114,0)-1,0)</f>
        <v>174.312640625</v>
      </c>
      <c r="I142" s="43"/>
      <c r="K142" s="69" t="s">
        <v>271</v>
      </c>
      <c r="L142" s="70">
        <f t="shared" ca="1" si="2"/>
        <v>19.31115625</v>
      </c>
      <c r="M142" s="70">
        <f t="shared" ca="1" si="2"/>
        <v>5.2050358796296399</v>
      </c>
      <c r="N142" s="70">
        <f ca="1">E143</f>
        <v>-9.9140156249999993</v>
      </c>
      <c r="O142" s="70"/>
    </row>
    <row r="143" spans="1:15" ht="18" customHeight="1">
      <c r="A143" s="181"/>
      <c r="B143" s="39" t="s">
        <v>272</v>
      </c>
      <c r="C143" s="40">
        <f ca="1">19.31115625*OFFSET($L$113,MATCH($N$1,$C$113:$C$114,0)-1,0)</f>
        <v>19.31115625</v>
      </c>
      <c r="D143" s="40">
        <f ca="1">5.20503587962964*OFFSET($L$113,MATCH($N$1,$C$113:$C$114,0)-1,0)</f>
        <v>5.2050358796296399</v>
      </c>
      <c r="E143" s="40">
        <f ca="1">-9.914015625*OFFSET($L$113,MATCH($N$1,$C$113:$C$114,0)-1,0)</f>
        <v>-9.9140156249999993</v>
      </c>
      <c r="F143" s="61">
        <f ca="1">4.9471953125*OFFSET($L$113,MATCH($N$1,$C$113:$C$114,0)-1,0)</f>
        <v>4.9471953124999999</v>
      </c>
      <c r="I143" s="43"/>
      <c r="K143" s="69" t="s">
        <v>273</v>
      </c>
      <c r="L143" s="73">
        <f ca="1">IFERROR(L141/L$140,"")</f>
        <v>0.90651229532067534</v>
      </c>
      <c r="M143" s="73">
        <f t="shared" ref="M143:N144" ca="1" si="3">IFERROR(M141/M$140,"")</f>
        <v>0.97392702308643819</v>
      </c>
      <c r="N143" s="73">
        <f t="shared" ca="1" si="3"/>
        <v>1.0879960663006687</v>
      </c>
      <c r="O143" s="73"/>
    </row>
    <row r="144" spans="1:15" ht="18" customHeight="1">
      <c r="I144" s="43"/>
      <c r="K144" s="69" t="s">
        <v>274</v>
      </c>
      <c r="L144" s="73">
        <f ca="1">IFERROR(L142/L$140,"")</f>
        <v>9.3487704679324699E-2</v>
      </c>
      <c r="M144" s="73">
        <f t="shared" ca="1" si="3"/>
        <v>2.607297691356001E-2</v>
      </c>
      <c r="N144" s="73">
        <f t="shared" ca="1" si="3"/>
        <v>-8.7996066300668779E-2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12</v>
      </c>
      <c r="B162" s="48"/>
      <c r="C162" s="74" t="s">
        <v>255</v>
      </c>
      <c r="D162" s="74" t="s">
        <v>276</v>
      </c>
      <c r="E162" s="74" t="s">
        <v>257</v>
      </c>
      <c r="F162" s="74" t="s">
        <v>277</v>
      </c>
      <c r="G162" s="75">
        <v>11</v>
      </c>
      <c r="H162" s="74"/>
      <c r="I162" s="74" t="s">
        <v>255</v>
      </c>
      <c r="J162" s="74" t="s">
        <v>276</v>
      </c>
      <c r="K162" s="74" t="s">
        <v>257</v>
      </c>
      <c r="L162" s="48" t="s">
        <v>277</v>
      </c>
      <c r="R162" s="21"/>
      <c r="S162" s="21"/>
    </row>
    <row r="163" spans="1:19" s="43" customFormat="1">
      <c r="A163" s="44">
        <v>1</v>
      </c>
      <c r="B163" s="48" t="s">
        <v>159</v>
      </c>
      <c r="C163" s="48">
        <v>0.99203630263260678</v>
      </c>
      <c r="D163" s="48">
        <v>0.94111208080448605</v>
      </c>
      <c r="E163" s="48">
        <v>0.97439375689993779</v>
      </c>
      <c r="F163" s="44">
        <v>12153634</v>
      </c>
      <c r="G163" s="44">
        <v>1</v>
      </c>
      <c r="H163" s="48" t="s">
        <v>159</v>
      </c>
      <c r="I163" s="48">
        <v>0.99365138501505346</v>
      </c>
      <c r="J163" s="48">
        <v>0.96552233393713993</v>
      </c>
      <c r="K163" s="48">
        <v>0.97337281752370042</v>
      </c>
      <c r="L163" s="44">
        <v>12153634</v>
      </c>
      <c r="R163" s="21"/>
      <c r="S163" s="21"/>
    </row>
    <row r="164" spans="1:19" s="43" customFormat="1">
      <c r="A164" s="44">
        <v>2</v>
      </c>
      <c r="B164" s="48" t="s">
        <v>249</v>
      </c>
      <c r="C164" s="48">
        <v>0</v>
      </c>
      <c r="D164" s="48">
        <v>4.0340623344872276E-2</v>
      </c>
      <c r="E164" s="48">
        <v>0</v>
      </c>
      <c r="F164" s="44">
        <v>3050596</v>
      </c>
      <c r="G164" s="44">
        <v>2</v>
      </c>
      <c r="H164" s="48" t="s">
        <v>181</v>
      </c>
      <c r="I164" s="48">
        <v>0</v>
      </c>
      <c r="J164" s="48">
        <v>1.7646227212477297E-2</v>
      </c>
      <c r="K164" s="48">
        <v>0</v>
      </c>
      <c r="L164" s="44">
        <v>553960</v>
      </c>
      <c r="N164" s="43" t="s">
        <v>278</v>
      </c>
      <c r="R164" s="21"/>
      <c r="S164" s="21"/>
    </row>
    <row r="165" spans="1:19" s="43" customFormat="1">
      <c r="A165" s="44">
        <v>3</v>
      </c>
      <c r="B165" s="48" t="s">
        <v>181</v>
      </c>
      <c r="C165" s="48">
        <v>0</v>
      </c>
      <c r="D165" s="48">
        <v>9.6439809966071162E-3</v>
      </c>
      <c r="E165" s="48">
        <v>0</v>
      </c>
      <c r="F165" s="44">
        <v>553960</v>
      </c>
      <c r="G165" s="44">
        <v>3</v>
      </c>
      <c r="H165" s="48" t="s">
        <v>249</v>
      </c>
      <c r="I165" s="48">
        <v>0</v>
      </c>
      <c r="J165" s="48">
        <v>1.2035107171596731E-2</v>
      </c>
      <c r="K165" s="48">
        <v>0</v>
      </c>
      <c r="L165" s="44">
        <v>3050596</v>
      </c>
      <c r="N165" s="43" t="s">
        <v>279</v>
      </c>
      <c r="R165" s="21"/>
      <c r="S165" s="21"/>
    </row>
    <row r="166" spans="1:19" s="43" customFormat="1">
      <c r="A166" s="44">
        <v>4</v>
      </c>
      <c r="B166" s="48" t="s">
        <v>250</v>
      </c>
      <c r="C166" s="48">
        <v>0</v>
      </c>
      <c r="D166" s="48">
        <v>2.4096758296897167E-3</v>
      </c>
      <c r="E166" s="48">
        <v>0</v>
      </c>
      <c r="F166" s="44">
        <v>11115023</v>
      </c>
      <c r="G166" s="44">
        <v>4</v>
      </c>
      <c r="H166" s="48" t="s">
        <v>161</v>
      </c>
      <c r="I166" s="48">
        <v>0</v>
      </c>
      <c r="J166" s="48">
        <v>1.1581338942540499E-3</v>
      </c>
      <c r="K166" s="48">
        <v>1.4669700988364709E-4</v>
      </c>
      <c r="L166" s="44">
        <v>2480382</v>
      </c>
      <c r="R166" s="21"/>
      <c r="S166" s="21"/>
    </row>
    <row r="167" spans="1:19" s="43" customFormat="1">
      <c r="A167" s="44">
        <v>5</v>
      </c>
      <c r="B167" s="48" t="s">
        <v>156</v>
      </c>
      <c r="C167" s="48">
        <v>1.7796855703007288E-3</v>
      </c>
      <c r="D167" s="48">
        <v>1.9639985291112056E-3</v>
      </c>
      <c r="E167" s="48">
        <v>4.1651485563632415E-4</v>
      </c>
      <c r="F167" s="44">
        <v>3689192</v>
      </c>
      <c r="G167" s="44">
        <v>5</v>
      </c>
      <c r="H167" s="48" t="s">
        <v>156</v>
      </c>
      <c r="I167" s="48">
        <v>8.8732148453626414E-4</v>
      </c>
      <c r="J167" s="48">
        <v>9.2872070766612813E-4</v>
      </c>
      <c r="K167" s="48">
        <v>2.2348254897271117E-4</v>
      </c>
      <c r="L167" s="44">
        <v>3689192</v>
      </c>
      <c r="R167" s="21"/>
      <c r="S167" s="21"/>
    </row>
    <row r="168" spans="1:19" s="43" customFormat="1">
      <c r="A168" s="44">
        <v>6</v>
      </c>
      <c r="B168" s="48" t="s">
        <v>174</v>
      </c>
      <c r="C168" s="48">
        <v>0</v>
      </c>
      <c r="D168" s="48">
        <v>0</v>
      </c>
      <c r="E168" s="48">
        <v>2.4561072198107266E-2</v>
      </c>
      <c r="F168" s="44">
        <v>1692097</v>
      </c>
      <c r="G168" s="44">
        <v>6</v>
      </c>
      <c r="H168" s="48" t="s">
        <v>174</v>
      </c>
      <c r="I168" s="48">
        <v>0</v>
      </c>
      <c r="J168" s="48">
        <v>0</v>
      </c>
      <c r="K168" s="48">
        <v>2.6038457100454167E-2</v>
      </c>
      <c r="L168" s="44">
        <v>1692097</v>
      </c>
      <c r="R168" s="21"/>
      <c r="S168" s="21"/>
    </row>
    <row r="169" spans="1:19" s="43" customFormat="1">
      <c r="A169" s="44">
        <v>7</v>
      </c>
      <c r="B169" s="48" t="s">
        <v>161</v>
      </c>
      <c r="C169" s="48">
        <v>0</v>
      </c>
      <c r="D169" s="48">
        <v>0</v>
      </c>
      <c r="E169" s="48">
        <v>2.3458401759654331E-4</v>
      </c>
      <c r="F169" s="44">
        <v>2480382</v>
      </c>
      <c r="G169" s="44">
        <v>7</v>
      </c>
      <c r="H169" s="48" t="s">
        <v>165</v>
      </c>
      <c r="I169" s="48">
        <v>2.0986600193933281E-3</v>
      </c>
      <c r="J169" s="48">
        <v>0</v>
      </c>
      <c r="K169" s="48">
        <v>8.5864667608234269E-5</v>
      </c>
      <c r="L169" s="44">
        <v>7434864</v>
      </c>
      <c r="R169" s="21"/>
      <c r="S169" s="21"/>
    </row>
    <row r="170" spans="1:19" s="43" customFormat="1">
      <c r="A170" s="44">
        <v>8</v>
      </c>
      <c r="B170" s="48" t="s">
        <v>165</v>
      </c>
      <c r="C170" s="48">
        <v>1.4970263032289236E-3</v>
      </c>
      <c r="D170" s="48">
        <v>0</v>
      </c>
      <c r="E170" s="48">
        <v>1.9079871610176962E-4</v>
      </c>
      <c r="F170" s="44">
        <v>7434864</v>
      </c>
      <c r="G170" s="44">
        <v>8</v>
      </c>
      <c r="H170" s="48" t="s">
        <v>170</v>
      </c>
      <c r="I170" s="48">
        <v>1.4925997885521611E-3</v>
      </c>
      <c r="J170" s="48">
        <v>0</v>
      </c>
      <c r="K170" s="48">
        <v>0</v>
      </c>
      <c r="L170" s="44">
        <v>8497745</v>
      </c>
      <c r="R170" s="21"/>
      <c r="S170" s="21"/>
    </row>
    <row r="171" spans="1:19" s="43" customFormat="1">
      <c r="A171" s="44">
        <v>9</v>
      </c>
      <c r="B171" s="48" t="s">
        <v>170</v>
      </c>
      <c r="C171" s="48">
        <v>1.0776147883494052E-3</v>
      </c>
      <c r="D171" s="48">
        <v>0</v>
      </c>
      <c r="E171" s="48">
        <v>0</v>
      </c>
      <c r="F171" s="44">
        <v>8497745</v>
      </c>
      <c r="G171" s="44">
        <v>9</v>
      </c>
      <c r="H171" s="48" t="s">
        <v>168</v>
      </c>
      <c r="I171" s="48">
        <v>7.8346704147154412E-4</v>
      </c>
      <c r="J171" s="48">
        <v>0</v>
      </c>
      <c r="K171" s="48">
        <v>0</v>
      </c>
      <c r="L171" s="44">
        <v>2887140</v>
      </c>
      <c r="R171" s="21"/>
      <c r="S171" s="21"/>
    </row>
    <row r="172" spans="1:19" s="43" customFormat="1">
      <c r="A172" s="44">
        <v>10</v>
      </c>
      <c r="B172" s="48" t="s">
        <v>293</v>
      </c>
      <c r="C172" s="48">
        <v>8.2003624596940403E-4</v>
      </c>
      <c r="D172" s="48">
        <v>0</v>
      </c>
      <c r="E172" s="48">
        <v>0</v>
      </c>
      <c r="F172" s="44">
        <v>14393110</v>
      </c>
      <c r="G172" s="44">
        <v>10</v>
      </c>
      <c r="H172" s="48" t="s">
        <v>251</v>
      </c>
      <c r="I172" s="48">
        <v>1.0865666509931593E-3</v>
      </c>
      <c r="J172" s="48">
        <v>2.7094770768658627E-3</v>
      </c>
      <c r="K172" s="48">
        <v>1.3268114938080888E-4</v>
      </c>
      <c r="L172" s="44">
        <v>5920853</v>
      </c>
      <c r="R172" s="21"/>
      <c r="S172" s="21"/>
    </row>
    <row r="173" spans="1:19" s="43" customFormat="1">
      <c r="A173" s="44">
        <v>11</v>
      </c>
      <c r="B173" s="48" t="s">
        <v>251</v>
      </c>
      <c r="C173" s="48">
        <v>2.7893344595447678E-3</v>
      </c>
      <c r="D173" s="48">
        <v>4.5296404952335223E-3</v>
      </c>
      <c r="E173" s="48">
        <v>2.0327331262037784E-4</v>
      </c>
      <c r="F173" s="44">
        <v>5920853</v>
      </c>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22400309-9174-4AA5-8529-EC0AFAD75E17}">
      <formula1>$C$113:$C$114</formula1>
    </dataValidation>
  </dataValidations>
  <hyperlinks>
    <hyperlink ref="O1:P1" location="Home_page" display="Back to home page" xr:uid="{CA57C8BC-F844-4AED-BD4C-BB3248B64DA6}"/>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9E0D6776-7A88-4BF1-893F-25F276640A30}">
          <x14:colorSeries rgb="FF323232"/>
          <x14:colorNegative rgb="FFD00000"/>
          <x14:colorAxis rgb="FF000000"/>
          <x14:colorMarkers rgb="FFD00000"/>
          <x14:colorFirst rgb="FFD00000"/>
          <x14:colorLast rgb="FFD00000"/>
          <x14:colorHigh rgb="FFD00000"/>
          <x14:colorLow rgb="FFD00000"/>
          <x14:sparklines>
            <x14:sparkline>
              <xm:f>'WOS nephrops under 250kW'!D3:N3</xm:f>
              <xm:sqref>C3</xm:sqref>
            </x14:sparkline>
            <x14:sparkline>
              <xm:f>'WOS nephrops under 250kW'!D4:N4</xm:f>
              <xm:sqref>C4</xm:sqref>
            </x14:sparkline>
            <x14:sparkline>
              <xm:f>'WOS nephrops under 250kW'!D5:N5</xm:f>
              <xm:sqref>C5</xm:sqref>
            </x14:sparkline>
            <x14:sparkline>
              <xm:f>'WOS nephrops under 250kW'!D6:N6</xm:f>
              <xm:sqref>C6</xm:sqref>
            </x14:sparkline>
            <x14:sparkline>
              <xm:f>'WOS nephrops under 250kW'!D7:N7</xm:f>
              <xm:sqref>C7</xm:sqref>
            </x14:sparkline>
            <x14:sparkline>
              <xm:f>'WOS nephrops under 250kW'!D8:N8</xm:f>
              <xm:sqref>C8</xm:sqref>
            </x14:sparkline>
            <x14:sparkline>
              <xm:f>'WOS nephrops under 250kW'!D9:N9</xm:f>
              <xm:sqref>C9</xm:sqref>
            </x14:sparkline>
            <x14:sparkline>
              <xm:f>'WOS nephrops under 250kW'!D10:N10</xm:f>
              <xm:sqref>C10</xm:sqref>
            </x14:sparkline>
            <x14:sparkline>
              <xm:f>'WOS nephrops under 250kW'!D11:N11</xm:f>
              <xm:sqref>C11</xm:sqref>
            </x14:sparkline>
            <x14:sparkline>
              <xm:f>'WOS nephrops under 250kW'!D12:N12</xm:f>
              <xm:sqref>C12</xm:sqref>
            </x14:sparkline>
            <x14:sparkline>
              <xm:f>'WOS nephrops under 250kW'!D13:N13</xm:f>
              <xm:sqref>C13</xm:sqref>
            </x14:sparkline>
            <x14:sparkline>
              <xm:f>'WOS nephrops under 250kW'!D14:N14</xm:f>
              <xm:sqref>C14</xm:sqref>
            </x14:sparkline>
            <x14:sparkline>
              <xm:f>'WOS nephrops under 250kW'!D15:N15</xm:f>
              <xm:sqref>C15</xm:sqref>
            </x14:sparkline>
            <x14:sparkline>
              <xm:f>'WOS nephrops under 250kW'!D16:N16</xm:f>
              <xm:sqref>C16</xm:sqref>
            </x14:sparkline>
            <x14:sparkline>
              <xm:f>'WOS nephrops under 250kW'!D17:N17</xm:f>
              <xm:sqref>C17</xm:sqref>
            </x14:sparkline>
            <x14:sparkline>
              <xm:f>'WOS nephrops under 250kW'!D18:N18</xm:f>
              <xm:sqref>C18</xm:sqref>
            </x14:sparkline>
            <x14:sparkline>
              <xm:f>'WOS nephrops under 250kW'!D19:N19</xm:f>
              <xm:sqref>C19</xm:sqref>
            </x14:sparkline>
            <x14:sparkline>
              <xm:f>'WOS nephrops under 250kW'!D20:N20</xm:f>
              <xm:sqref>C20</xm:sqref>
            </x14:sparkline>
            <x14:sparkline>
              <xm:f>'WOS nephrops under 250kW'!D21:N21</xm:f>
              <xm:sqref>C21</xm:sqref>
            </x14:sparkline>
            <x14:sparkline>
              <xm:f>'WOS nephrops under 250kW'!D22:N22</xm:f>
              <xm:sqref>C22</xm:sqref>
            </x14:sparkline>
            <x14:sparkline>
              <xm:f>'WOS nephrops under 250kW'!D23:N23</xm:f>
              <xm:sqref>C23</xm:sqref>
            </x14:sparkline>
            <x14:sparkline>
              <xm:f>'WOS nephrops under 250kW'!D24:N24</xm:f>
              <xm:sqref>C24</xm:sqref>
            </x14:sparkline>
            <x14:sparkline>
              <xm:f>'WOS nephrops under 250kW'!D25:N25</xm:f>
              <xm:sqref>C25</xm:sqref>
            </x14:sparkline>
            <x14:sparkline>
              <xm:f>'WOS nephrops under 250kW'!D26:N26</xm:f>
              <xm:sqref>C26</xm:sqref>
            </x14:sparkline>
            <x14:sparkline>
              <xm:f>'WOS nephrops under 250kW'!D27:N27</xm:f>
              <xm:sqref>C27</xm:sqref>
            </x14:sparkline>
            <x14:sparkline>
              <xm:f>'WOS nephrops under 250kW'!D28:N28</xm:f>
              <xm:sqref>C28</xm:sqref>
            </x14:sparkline>
            <x14:sparkline>
              <xm:f>'WOS nephrops under 250kW'!D29:N29</xm:f>
              <xm:sqref>C29</xm:sqref>
            </x14:sparkline>
            <x14:sparkline>
              <xm:f>'WOS nephrops under 250kW'!D30:N30</xm:f>
              <xm:sqref>C30</xm:sqref>
            </x14:sparkline>
            <x14:sparkline>
              <xm:f>'WOS nephrops under 250kW'!D31:N31</xm:f>
              <xm:sqref>C31</xm:sqref>
            </x14:sparkline>
            <x14:sparkline>
              <xm:f>'WOS nephrops under 250kW'!D32:N32</xm:f>
              <xm:sqref>C32</xm:sqref>
            </x14:sparkline>
            <x14:sparkline>
              <xm:f>'WOS nephrops under 250kW'!D33:N33</xm:f>
              <xm:sqref>C33</xm:sqref>
            </x14:sparkline>
            <x14:sparkline>
              <xm:f>'WOS nephrops under 250kW'!D34:N34</xm:f>
              <xm:sqref>C34</xm:sqref>
            </x14:sparkline>
            <x14:sparkline>
              <xm:f>'WOS nephrops under 250kW'!D35:N35</xm:f>
              <xm:sqref>C35</xm:sqref>
            </x14:sparkline>
            <x14:sparkline>
              <xm:f>'WOS nephrops under 250kW'!D36:N36</xm:f>
              <xm:sqref>C36</xm:sqref>
            </x14:sparkline>
            <x14:sparkline>
              <xm:f>'WOS nephrops under 250kW'!D37:N37</xm:f>
              <xm:sqref>C37</xm:sqref>
            </x14:sparkline>
            <x14:sparkline>
              <xm:f>'WOS nephrops under 250kW'!D38:N38</xm:f>
              <xm:sqref>C38</xm:sqref>
            </x14:sparkline>
            <x14:sparkline>
              <xm:f>'WOS nephrops under 250kW'!D39:N39</xm:f>
              <xm:sqref>C39</xm:sqref>
            </x14:sparkline>
            <x14:sparkline>
              <xm:f>'WOS nephrops under 250kW'!D40:N40</xm:f>
              <xm:sqref>C40</xm:sqref>
            </x14:sparkline>
            <x14:sparkline>
              <xm:f>'WOS nephrops under 250kW'!D41:N41</xm:f>
              <xm:sqref>C41</xm:sqref>
            </x14:sparkline>
            <x14:sparkline>
              <xm:f>'WOS nephrops under 250kW'!D42:N42</xm:f>
              <xm:sqref>C42</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D350-46C1-442F-A3B5-0D6F051EB926}">
  <sheetPr codeName="Feuil41">
    <pageSetUpPr fitToPage="1"/>
  </sheetPr>
  <dimension ref="A1:K34"/>
  <sheetViews>
    <sheetView topLeftCell="A2" workbookViewId="0">
      <selection activeCell="A35" sqref="A35:XFD35"/>
    </sheetView>
  </sheetViews>
  <sheetFormatPr defaultColWidth="8.625" defaultRowHeight="15" customHeight="1"/>
  <cols>
    <col min="1" max="1" width="32.125" style="117" customWidth="1"/>
    <col min="2" max="11" width="6.625" style="116" customWidth="1"/>
    <col min="12" max="23" width="6.625" style="117" customWidth="1"/>
    <col min="24" max="16384" width="8.625" style="117"/>
  </cols>
  <sheetData>
    <row r="1" spans="1:11" ht="33" customHeight="1">
      <c r="A1" s="20" t="s">
        <v>650</v>
      </c>
      <c r="B1" s="20"/>
      <c r="C1" s="20"/>
      <c r="D1" s="20"/>
      <c r="E1" s="20"/>
      <c r="F1" s="20"/>
      <c r="G1" s="20"/>
      <c r="H1" s="20"/>
      <c r="I1" s="20"/>
      <c r="J1" s="203" t="s">
        <v>41</v>
      </c>
      <c r="K1" s="203"/>
    </row>
    <row r="2" spans="1:11" ht="30" customHeight="1">
      <c r="A2" s="204" t="s">
        <v>651</v>
      </c>
      <c r="B2" s="204"/>
      <c r="C2" s="204"/>
      <c r="D2" s="204"/>
      <c r="E2" s="204"/>
      <c r="F2" s="204"/>
      <c r="G2" s="204"/>
      <c r="H2" s="204"/>
      <c r="I2" s="204"/>
      <c r="J2" s="204"/>
      <c r="K2" s="204"/>
    </row>
    <row r="3" spans="1:11" ht="15" customHeight="1">
      <c r="A3" s="132"/>
      <c r="B3" s="37"/>
      <c r="C3" s="37"/>
      <c r="D3" s="37"/>
      <c r="E3" s="37"/>
      <c r="F3" s="37"/>
      <c r="G3" s="37"/>
      <c r="H3" s="37"/>
      <c r="I3" s="37"/>
      <c r="J3" s="37"/>
      <c r="K3" s="37"/>
    </row>
    <row r="4" spans="1:11" ht="15" customHeight="1" thickBot="1">
      <c r="A4" s="133" t="s">
        <v>652</v>
      </c>
      <c r="B4" s="134">
        <v>2012</v>
      </c>
      <c r="C4" s="134">
        <v>2013</v>
      </c>
      <c r="D4" s="134">
        <v>2014</v>
      </c>
      <c r="E4" s="134">
        <v>2015</v>
      </c>
      <c r="F4" s="134">
        <v>2016</v>
      </c>
      <c r="G4" s="134">
        <v>2017</v>
      </c>
      <c r="H4" s="134">
        <v>2018</v>
      </c>
      <c r="I4" s="134">
        <v>2019</v>
      </c>
      <c r="J4" s="134">
        <v>2020</v>
      </c>
      <c r="K4" s="134">
        <v>2021</v>
      </c>
    </row>
    <row r="5" spans="1:11" ht="15" customHeight="1">
      <c r="A5" s="121" t="s">
        <v>10</v>
      </c>
      <c r="B5" s="122">
        <v>0</v>
      </c>
      <c r="C5" s="122">
        <v>0.4</v>
      </c>
      <c r="D5" s="122">
        <v>0.1111111111111111</v>
      </c>
      <c r="E5" s="122">
        <v>0.25</v>
      </c>
      <c r="F5" s="122">
        <v>0.13333333333333333</v>
      </c>
      <c r="G5" s="122">
        <v>0.30769230769230771</v>
      </c>
      <c r="H5" s="122">
        <v>0.1</v>
      </c>
      <c r="I5" s="122">
        <v>0.2</v>
      </c>
      <c r="J5" s="122">
        <v>0.42857142857142855</v>
      </c>
      <c r="K5" s="122">
        <v>0.42857142857142855</v>
      </c>
    </row>
    <row r="6" spans="1:11" ht="15" customHeight="1">
      <c r="A6" s="123" t="s">
        <v>11</v>
      </c>
      <c r="B6" s="122">
        <v>0.14705882352941177</v>
      </c>
      <c r="C6" s="122">
        <v>0.21951219512195122</v>
      </c>
      <c r="D6" s="122">
        <v>0.16216216216216217</v>
      </c>
      <c r="E6" s="122">
        <v>0.16666666666666666</v>
      </c>
      <c r="F6" s="122">
        <v>0.125</v>
      </c>
      <c r="G6" s="122">
        <v>0.23333333333333334</v>
      </c>
      <c r="H6" s="122">
        <v>0.19354838709677419</v>
      </c>
      <c r="I6" s="122">
        <v>0.31034482758620691</v>
      </c>
      <c r="J6" s="122">
        <v>0.16</v>
      </c>
      <c r="K6" s="122">
        <v>3.4482758620689655E-2</v>
      </c>
    </row>
    <row r="7" spans="1:11" ht="15" customHeight="1">
      <c r="A7" s="123" t="s">
        <v>12</v>
      </c>
      <c r="B7" s="122">
        <v>0.12698412698412698</v>
      </c>
      <c r="C7" s="122">
        <v>0.17543859649122806</v>
      </c>
      <c r="D7" s="122">
        <v>0.2608695652173913</v>
      </c>
      <c r="E7" s="122">
        <v>0.21951219512195122</v>
      </c>
      <c r="F7" s="122">
        <v>0.21428571428571427</v>
      </c>
      <c r="G7" s="122">
        <v>0.24324324324324326</v>
      </c>
      <c r="H7" s="122">
        <v>0.18181818181818182</v>
      </c>
      <c r="I7" s="122">
        <v>0.27777777777777779</v>
      </c>
      <c r="J7" s="122">
        <v>0.19354838709677419</v>
      </c>
      <c r="K7" s="122">
        <v>0.1</v>
      </c>
    </row>
    <row r="8" spans="1:11" ht="15" customHeight="1">
      <c r="A8" s="123" t="s">
        <v>13</v>
      </c>
      <c r="B8" s="122">
        <v>0</v>
      </c>
      <c r="C8" s="122">
        <v>0</v>
      </c>
      <c r="D8" s="122">
        <v>8.3333333333333329E-2</v>
      </c>
      <c r="E8" s="122">
        <v>7.6923076923076927E-2</v>
      </c>
      <c r="F8" s="122">
        <v>9.0909090909090912E-2</v>
      </c>
      <c r="G8" s="122">
        <v>7.6923076923076927E-2</v>
      </c>
      <c r="H8" s="122">
        <v>0</v>
      </c>
      <c r="I8" s="122">
        <v>7.1428571428571425E-2</v>
      </c>
      <c r="J8" s="122">
        <v>0</v>
      </c>
      <c r="K8" s="122">
        <v>0</v>
      </c>
    </row>
    <row r="9" spans="1:11" ht="15" customHeight="1">
      <c r="A9" s="123" t="s">
        <v>14</v>
      </c>
      <c r="B9" s="122">
        <v>0.15</v>
      </c>
      <c r="C9" s="122">
        <v>0.14754098360655737</v>
      </c>
      <c r="D9" s="122">
        <v>0.18461538461538463</v>
      </c>
      <c r="E9" s="122">
        <v>0.17647058823529413</v>
      </c>
      <c r="F9" s="122">
        <v>0.17460317460317459</v>
      </c>
      <c r="G9" s="122">
        <v>0.24590163934426229</v>
      </c>
      <c r="H9" s="122">
        <v>0.1864406779661017</v>
      </c>
      <c r="I9" s="122">
        <v>7.407407407407407E-2</v>
      </c>
      <c r="J9" s="122">
        <v>0.1276595744680851</v>
      </c>
      <c r="K9" s="122">
        <v>6.8181818181818177E-2</v>
      </c>
    </row>
    <row r="10" spans="1:11" ht="15" customHeight="1">
      <c r="A10" s="123" t="s">
        <v>15</v>
      </c>
      <c r="B10" s="122">
        <v>0.17499999999999999</v>
      </c>
      <c r="C10" s="122">
        <v>0.10810810810810811</v>
      </c>
      <c r="D10" s="122">
        <v>0.1388888888888889</v>
      </c>
      <c r="E10" s="122">
        <v>0.22580645161290322</v>
      </c>
      <c r="F10" s="122">
        <v>0.23333333333333334</v>
      </c>
      <c r="G10" s="122">
        <v>0.23333333333333334</v>
      </c>
      <c r="H10" s="122">
        <v>0.26923076923076922</v>
      </c>
      <c r="I10" s="122">
        <v>0.25925925925925924</v>
      </c>
      <c r="J10" s="122">
        <v>0.26923076923076922</v>
      </c>
      <c r="K10" s="122">
        <v>0.26923076923076922</v>
      </c>
    </row>
    <row r="11" spans="1:11" ht="15" customHeight="1">
      <c r="A11" s="123" t="s">
        <v>16</v>
      </c>
      <c r="B11" s="122">
        <v>0.08</v>
      </c>
      <c r="C11" s="122">
        <v>0.08</v>
      </c>
      <c r="D11" s="122">
        <v>7.407407407407407E-2</v>
      </c>
      <c r="E11" s="122">
        <v>0.13043478260869565</v>
      </c>
      <c r="F11" s="122">
        <v>0.11538461538461539</v>
      </c>
      <c r="G11" s="122">
        <v>0.10714285714285714</v>
      </c>
      <c r="H11" s="122">
        <v>6.6666666666666666E-2</v>
      </c>
      <c r="I11" s="122">
        <v>9.6774193548387094E-2</v>
      </c>
      <c r="J11" s="122">
        <v>7.407407407407407E-2</v>
      </c>
      <c r="K11" s="122">
        <v>0</v>
      </c>
    </row>
    <row r="12" spans="1:11" ht="15" customHeight="1">
      <c r="A12" s="123" t="s">
        <v>17</v>
      </c>
      <c r="B12" s="122">
        <v>6.7796610169491525E-2</v>
      </c>
      <c r="C12" s="122">
        <v>3.9215686274509803E-2</v>
      </c>
      <c r="D12" s="122">
        <v>6.7796610169491525E-2</v>
      </c>
      <c r="E12" s="122">
        <v>6.25E-2</v>
      </c>
      <c r="F12" s="122">
        <v>1.9607843137254902E-2</v>
      </c>
      <c r="G12" s="122">
        <v>2.3809523809523808E-2</v>
      </c>
      <c r="H12" s="122">
        <v>2.6315789473684209E-2</v>
      </c>
      <c r="I12" s="122">
        <v>6.25E-2</v>
      </c>
      <c r="J12" s="122">
        <v>0</v>
      </c>
      <c r="K12" s="122">
        <v>0</v>
      </c>
    </row>
    <row r="13" spans="1:11" ht="15" customHeight="1">
      <c r="A13" s="123" t="s">
        <v>18</v>
      </c>
      <c r="B13" s="122">
        <v>1.9801980198019802E-2</v>
      </c>
      <c r="C13" s="122">
        <v>1.7867778439547351E-2</v>
      </c>
      <c r="D13" s="122">
        <v>2.7301587301587302E-2</v>
      </c>
      <c r="E13" s="122">
        <v>2.7909738717339667E-2</v>
      </c>
      <c r="F13" s="122">
        <v>2.4654239326518342E-2</v>
      </c>
      <c r="G13" s="122">
        <v>2.2465088038858532E-2</v>
      </c>
      <c r="H13" s="122">
        <v>2.0942408376963352E-2</v>
      </c>
      <c r="I13" s="122">
        <v>2.7498323272971161E-2</v>
      </c>
      <c r="J13" s="122">
        <v>2.2636484687083888E-2</v>
      </c>
      <c r="K13" s="122">
        <v>1.5601783060921248E-2</v>
      </c>
    </row>
    <row r="14" spans="1:11" ht="15" customHeight="1">
      <c r="A14" s="123" t="s">
        <v>19</v>
      </c>
      <c r="B14" s="122">
        <v>0.625</v>
      </c>
      <c r="C14" s="122">
        <v>0.18181818181818182</v>
      </c>
      <c r="D14" s="122">
        <v>9.0909090909090912E-2</v>
      </c>
      <c r="E14" s="122">
        <v>0.4</v>
      </c>
      <c r="F14" s="122">
        <v>0.22222222222222221</v>
      </c>
      <c r="G14" s="122">
        <v>0</v>
      </c>
      <c r="H14" s="122">
        <v>0.14285714285714285</v>
      </c>
      <c r="I14" s="122">
        <v>0</v>
      </c>
      <c r="J14" s="122">
        <v>0</v>
      </c>
      <c r="K14" s="122">
        <v>0</v>
      </c>
    </row>
    <row r="15" spans="1:11" ht="15" customHeight="1">
      <c r="A15" s="123" t="s">
        <v>20</v>
      </c>
      <c r="B15" s="122">
        <v>0.4</v>
      </c>
      <c r="C15" s="122">
        <v>0</v>
      </c>
      <c r="D15" s="122">
        <v>0</v>
      </c>
      <c r="E15" s="122">
        <v>0</v>
      </c>
      <c r="F15" s="122">
        <v>0</v>
      </c>
      <c r="G15" s="122">
        <v>0</v>
      </c>
      <c r="H15" s="122">
        <v>0.31818181818181818</v>
      </c>
      <c r="I15" s="122">
        <v>0.2857142857142857</v>
      </c>
      <c r="J15" s="122">
        <v>0</v>
      </c>
      <c r="K15" s="122">
        <v>0.35294117647058826</v>
      </c>
    </row>
    <row r="16" spans="1:11" ht="15" customHeight="1">
      <c r="A16" s="123" t="s">
        <v>21</v>
      </c>
      <c r="B16" s="122">
        <v>0.47222222222222221</v>
      </c>
      <c r="C16" s="122">
        <v>0.35185185185185186</v>
      </c>
      <c r="D16" s="122">
        <v>0.4576271186440678</v>
      </c>
      <c r="E16" s="122">
        <v>0.44186046511627908</v>
      </c>
      <c r="F16" s="122">
        <v>0.55102040816326525</v>
      </c>
      <c r="G16" s="122">
        <v>0.62264150943396224</v>
      </c>
      <c r="H16" s="122">
        <v>0.42499999999999999</v>
      </c>
      <c r="I16" s="122">
        <v>0.2361111111111111</v>
      </c>
      <c r="J16" s="122">
        <v>0.24528301886792453</v>
      </c>
      <c r="K16" s="122">
        <v>0.18571428571428572</v>
      </c>
    </row>
    <row r="17" spans="1:11" ht="15" customHeight="1">
      <c r="A17" s="123" t="s">
        <v>22</v>
      </c>
      <c r="B17" s="122">
        <v>0.13636363636363635</v>
      </c>
      <c r="C17" s="122">
        <v>0.17543859649122806</v>
      </c>
      <c r="D17" s="122">
        <v>0.24285714285714285</v>
      </c>
      <c r="E17" s="122">
        <v>0.36206896551724138</v>
      </c>
      <c r="F17" s="122">
        <v>0.34920634920634919</v>
      </c>
      <c r="G17" s="122">
        <v>0.27142857142857141</v>
      </c>
      <c r="H17" s="122">
        <v>0.22222222222222221</v>
      </c>
      <c r="I17" s="122">
        <v>0.12121212121212122</v>
      </c>
      <c r="J17" s="122">
        <v>0.11764705882352941</v>
      </c>
      <c r="K17" s="122">
        <v>4.8387096774193547E-2</v>
      </c>
    </row>
    <row r="18" spans="1:11" ht="15" customHeight="1">
      <c r="A18" s="123" t="s">
        <v>23</v>
      </c>
      <c r="B18" s="122">
        <v>0.58695652173913049</v>
      </c>
      <c r="C18" s="122">
        <v>0.51020408163265307</v>
      </c>
      <c r="D18" s="122">
        <v>0.69444444444444442</v>
      </c>
      <c r="E18" s="122">
        <v>0.72093023255813948</v>
      </c>
      <c r="F18" s="122">
        <v>0.52272727272727271</v>
      </c>
      <c r="G18" s="122">
        <v>0.48837209302325579</v>
      </c>
      <c r="H18" s="122">
        <v>0.46666666666666667</v>
      </c>
      <c r="I18" s="122">
        <v>0.45238095238095238</v>
      </c>
      <c r="J18" s="122">
        <v>0.47619047619047616</v>
      </c>
      <c r="K18" s="122">
        <v>0.41463414634146339</v>
      </c>
    </row>
    <row r="19" spans="1:11" ht="15" customHeight="1">
      <c r="A19" s="123" t="s">
        <v>24</v>
      </c>
      <c r="B19" s="122">
        <v>0.46666666666666667</v>
      </c>
      <c r="C19" s="122">
        <v>0.45</v>
      </c>
      <c r="D19" s="122">
        <v>0.6</v>
      </c>
      <c r="E19" s="122">
        <v>0.42857142857142855</v>
      </c>
      <c r="F19" s="122">
        <v>0.28000000000000003</v>
      </c>
      <c r="G19" s="122">
        <v>0.36</v>
      </c>
      <c r="H19" s="122">
        <v>0.4</v>
      </c>
      <c r="I19" s="122">
        <v>0.39130434782608697</v>
      </c>
      <c r="J19" s="122">
        <v>0.29629629629629628</v>
      </c>
      <c r="K19" s="122">
        <v>0.15384615384615385</v>
      </c>
    </row>
    <row r="20" spans="1:11" ht="15" customHeight="1">
      <c r="A20" s="123" t="s">
        <v>25</v>
      </c>
      <c r="B20" s="122">
        <v>0.69230769230769229</v>
      </c>
      <c r="C20" s="122">
        <v>0.41176470588235292</v>
      </c>
      <c r="D20" s="122">
        <v>0.63157894736842102</v>
      </c>
      <c r="E20" s="122">
        <v>0.625</v>
      </c>
      <c r="F20" s="122">
        <v>0.8125</v>
      </c>
      <c r="G20" s="122">
        <v>0.52941176470588236</v>
      </c>
      <c r="H20" s="122">
        <v>0.4</v>
      </c>
      <c r="I20" s="122">
        <v>0.21428571428571427</v>
      </c>
      <c r="J20" s="122">
        <v>0.23809523809523808</v>
      </c>
      <c r="K20" s="122">
        <v>0.19047619047619047</v>
      </c>
    </row>
    <row r="21" spans="1:11" ht="15" customHeight="1">
      <c r="A21" s="123" t="s">
        <v>26</v>
      </c>
      <c r="B21" s="122">
        <v>0.47222222222222221</v>
      </c>
      <c r="C21" s="122">
        <v>0.5</v>
      </c>
      <c r="D21" s="122">
        <v>0.47058823529411764</v>
      </c>
      <c r="E21" s="122">
        <v>0.46666666666666667</v>
      </c>
      <c r="F21" s="122">
        <v>0.39393939393939392</v>
      </c>
      <c r="G21" s="122">
        <v>0.45945945945945948</v>
      </c>
      <c r="H21" s="122">
        <v>0.5</v>
      </c>
      <c r="I21" s="122">
        <v>0.57692307692307687</v>
      </c>
      <c r="J21" s="122">
        <v>0.35</v>
      </c>
      <c r="K21" s="122">
        <v>0.29166666666666669</v>
      </c>
    </row>
    <row r="22" spans="1:11" ht="15" customHeight="1">
      <c r="A22" s="123" t="s">
        <v>27</v>
      </c>
      <c r="B22" s="122">
        <v>0.36363636363636365</v>
      </c>
      <c r="C22" s="122">
        <v>0.42857142857142855</v>
      </c>
      <c r="D22" s="122">
        <v>0.26666666666666666</v>
      </c>
      <c r="E22" s="122">
        <v>0.27272727272727271</v>
      </c>
      <c r="F22" s="122">
        <v>0.23076923076923078</v>
      </c>
      <c r="G22" s="122">
        <v>0.15789473684210525</v>
      </c>
      <c r="H22" s="122">
        <v>0.10526315789473684</v>
      </c>
      <c r="I22" s="122">
        <v>0.16666666666666666</v>
      </c>
      <c r="J22" s="122">
        <v>8.3333333333333329E-2</v>
      </c>
      <c r="K22" s="122">
        <v>0.2</v>
      </c>
    </row>
    <row r="23" spans="1:11" ht="15" customHeight="1">
      <c r="A23" s="123" t="s">
        <v>28</v>
      </c>
      <c r="B23" s="122">
        <v>0.13450292397660818</v>
      </c>
      <c r="C23" s="122">
        <v>0.15697674418604651</v>
      </c>
      <c r="D23" s="122">
        <v>0.1746987951807229</v>
      </c>
      <c r="E23" s="122">
        <v>0.22641509433962265</v>
      </c>
      <c r="F23" s="122">
        <v>0.18857142857142858</v>
      </c>
      <c r="G23" s="122">
        <v>0.15909090909090909</v>
      </c>
      <c r="H23" s="122">
        <v>0.13903743315508021</v>
      </c>
      <c r="I23" s="122">
        <v>0.13259668508287292</v>
      </c>
      <c r="J23" s="122">
        <v>0.11235955056179775</v>
      </c>
      <c r="K23" s="122">
        <v>8.7209302325581398E-2</v>
      </c>
    </row>
    <row r="24" spans="1:11" ht="15" customHeight="1">
      <c r="A24" s="123" t="s">
        <v>29</v>
      </c>
      <c r="B24" s="122">
        <v>0.22500000000000001</v>
      </c>
      <c r="C24" s="122">
        <v>0.31395348837209303</v>
      </c>
      <c r="D24" s="122">
        <v>0.26373626373626374</v>
      </c>
      <c r="E24" s="122">
        <v>0.23157894736842105</v>
      </c>
      <c r="F24" s="122">
        <v>0.18478260869565216</v>
      </c>
      <c r="G24" s="122">
        <v>0.21978021978021978</v>
      </c>
      <c r="H24" s="122">
        <v>0.1326530612244898</v>
      </c>
      <c r="I24" s="122">
        <v>0.15238095238095239</v>
      </c>
      <c r="J24" s="122">
        <v>0.11009174311926606</v>
      </c>
      <c r="K24" s="122">
        <v>0.125</v>
      </c>
    </row>
    <row r="25" spans="1:11" ht="15" customHeight="1">
      <c r="A25" s="123" t="s">
        <v>30</v>
      </c>
      <c r="B25" s="122">
        <v>0.84210526315789469</v>
      </c>
      <c r="C25" s="122">
        <v>0.15789473684210525</v>
      </c>
      <c r="D25" s="122">
        <v>0.2</v>
      </c>
      <c r="E25" s="122">
        <v>0.72727272727272729</v>
      </c>
      <c r="F25" s="122">
        <v>0.82608695652173914</v>
      </c>
      <c r="G25" s="122">
        <v>0.38461538461538464</v>
      </c>
      <c r="H25" s="122">
        <v>0.38461538461538464</v>
      </c>
      <c r="I25" s="122">
        <v>0.42307692307692307</v>
      </c>
      <c r="J25" s="122">
        <v>0.45833333333333331</v>
      </c>
      <c r="K25" s="122">
        <v>0.39130434782608697</v>
      </c>
    </row>
    <row r="26" spans="1:11" ht="15" customHeight="1">
      <c r="A26" s="123" t="s">
        <v>31</v>
      </c>
      <c r="B26" s="122">
        <v>0.29629629629629628</v>
      </c>
      <c r="C26" s="122">
        <v>0.32</v>
      </c>
      <c r="D26" s="122">
        <v>0.39130434782608697</v>
      </c>
      <c r="E26" s="122">
        <v>0.375</v>
      </c>
      <c r="F26" s="122">
        <v>0.17391304347826086</v>
      </c>
      <c r="G26" s="122">
        <v>0.40909090909090912</v>
      </c>
      <c r="H26" s="122">
        <v>0.44</v>
      </c>
      <c r="I26" s="122">
        <v>0.31818181818181818</v>
      </c>
      <c r="J26" s="122">
        <v>0.125</v>
      </c>
      <c r="K26" s="122">
        <v>0.15</v>
      </c>
    </row>
    <row r="27" spans="1:11" ht="15" customHeight="1">
      <c r="A27" s="123" t="s">
        <v>34</v>
      </c>
      <c r="B27" s="122">
        <v>0.11659192825112108</v>
      </c>
      <c r="C27" s="122">
        <v>0.12315270935960591</v>
      </c>
      <c r="D27" s="122">
        <v>0.11330049261083744</v>
      </c>
      <c r="E27" s="122">
        <v>0.10362694300518134</v>
      </c>
      <c r="F27" s="122">
        <v>0.140625</v>
      </c>
      <c r="G27" s="122">
        <v>9.7142857142857142E-2</v>
      </c>
      <c r="H27" s="122">
        <v>0.11392405063291139</v>
      </c>
      <c r="I27" s="122">
        <v>0.12650602409638553</v>
      </c>
      <c r="J27" s="122">
        <v>9.8837209302325577E-2</v>
      </c>
      <c r="K27" s="122">
        <v>5.7803468208092484E-2</v>
      </c>
    </row>
    <row r="28" spans="1:11" ht="15" customHeight="1">
      <c r="A28" s="123" t="s">
        <v>35</v>
      </c>
      <c r="B28" s="122">
        <v>0.10424710424710425</v>
      </c>
      <c r="C28" s="122">
        <v>4.7808764940239043E-2</v>
      </c>
      <c r="D28" s="122">
        <v>8.3333333333333329E-2</v>
      </c>
      <c r="E28" s="122">
        <v>0.11607142857142858</v>
      </c>
      <c r="F28" s="122">
        <v>0.10762331838565023</v>
      </c>
      <c r="G28" s="122">
        <v>8.1967213114754092E-2</v>
      </c>
      <c r="H28" s="122">
        <v>6.6037735849056603E-2</v>
      </c>
      <c r="I28" s="122">
        <v>6.4039408866995079E-2</v>
      </c>
      <c r="J28" s="122">
        <v>3.3898305084745763E-2</v>
      </c>
      <c r="K28" s="122">
        <v>3.0456852791878174E-2</v>
      </c>
    </row>
    <row r="29" spans="1:11" ht="15" customHeight="1">
      <c r="A29" s="123" t="s">
        <v>36</v>
      </c>
      <c r="B29" s="122">
        <v>7.506950880444857E-2</v>
      </c>
      <c r="C29" s="122">
        <v>0.12087912087912088</v>
      </c>
      <c r="D29" s="122">
        <v>0.1324376199616123</v>
      </c>
      <c r="E29" s="122">
        <v>0.15034619188921861</v>
      </c>
      <c r="F29" s="122">
        <v>0.12062615101289134</v>
      </c>
      <c r="G29" s="122">
        <v>0.1166365280289331</v>
      </c>
      <c r="H29" s="122">
        <v>9.9916736053288921E-2</v>
      </c>
      <c r="I29" s="122">
        <v>9.90990990990991E-2</v>
      </c>
      <c r="J29" s="122">
        <v>0.10027598896044158</v>
      </c>
      <c r="K29" s="122">
        <v>7.9691516709511565E-2</v>
      </c>
    </row>
    <row r="30" spans="1:11" ht="15" customHeight="1">
      <c r="A30" s="123" t="s">
        <v>37</v>
      </c>
      <c r="B30" s="122">
        <v>0.10563380281690141</v>
      </c>
      <c r="C30" s="122">
        <v>6.7114093959731544E-2</v>
      </c>
      <c r="D30" s="122">
        <v>5.3691275167785234E-2</v>
      </c>
      <c r="E30" s="122">
        <v>8.7591240875912413E-2</v>
      </c>
      <c r="F30" s="122">
        <v>0.11976047904191617</v>
      </c>
      <c r="G30" s="122">
        <v>0.10434782608695652</v>
      </c>
      <c r="H30" s="122">
        <v>0.11057692307692307</v>
      </c>
      <c r="I30" s="122">
        <v>0.12626262626262627</v>
      </c>
      <c r="J30" s="122">
        <v>0.1044776119402985</v>
      </c>
      <c r="K30" s="122">
        <v>3.5087719298245612E-2</v>
      </c>
    </row>
    <row r="31" spans="1:11" ht="15" customHeight="1">
      <c r="A31" s="123" t="s">
        <v>38</v>
      </c>
      <c r="B31" s="122">
        <v>0.25</v>
      </c>
      <c r="C31" s="122">
        <v>0.3783783783783784</v>
      </c>
      <c r="D31" s="122">
        <v>0.32500000000000001</v>
      </c>
      <c r="E31" s="122">
        <v>0.41463414634146339</v>
      </c>
      <c r="F31" s="122">
        <v>0.45098039215686275</v>
      </c>
      <c r="G31" s="122">
        <v>0.37209302325581395</v>
      </c>
      <c r="H31" s="122">
        <v>0.4</v>
      </c>
      <c r="I31" s="122">
        <v>0.36</v>
      </c>
      <c r="J31" s="122">
        <v>0.48148148148148145</v>
      </c>
      <c r="K31" s="122">
        <v>0.20689655172413793</v>
      </c>
    </row>
    <row r="32" spans="1:11" ht="15" customHeight="1">
      <c r="A32" s="123" t="s">
        <v>39</v>
      </c>
      <c r="B32" s="122">
        <v>0.30303030303030304</v>
      </c>
      <c r="C32" s="122">
        <v>0.26041666666666669</v>
      </c>
      <c r="D32" s="122">
        <v>0.25555555555555554</v>
      </c>
      <c r="E32" s="122">
        <v>0.24719101123595505</v>
      </c>
      <c r="F32" s="122">
        <v>0.22222222222222221</v>
      </c>
      <c r="G32" s="122">
        <v>0.22972972972972974</v>
      </c>
      <c r="H32" s="122">
        <v>0.24590163934426229</v>
      </c>
      <c r="I32" s="122">
        <v>0.25</v>
      </c>
      <c r="J32" s="122">
        <v>0.26415094339622641</v>
      </c>
      <c r="K32" s="122">
        <v>0.18181818181818182</v>
      </c>
    </row>
    <row r="33" spans="1:11" ht="15" customHeight="1">
      <c r="A33" s="123" t="s">
        <v>32</v>
      </c>
      <c r="B33" s="122">
        <v>0.31034482758620691</v>
      </c>
      <c r="C33" s="122">
        <v>0.26041666666666669</v>
      </c>
      <c r="D33" s="122">
        <v>0.29896907216494845</v>
      </c>
      <c r="E33" s="122">
        <v>0.29347826086956524</v>
      </c>
      <c r="F33" s="122">
        <v>0.32967032967032966</v>
      </c>
      <c r="G33" s="122">
        <v>0.21590909090909091</v>
      </c>
      <c r="H33" s="122">
        <v>0.30864197530864196</v>
      </c>
      <c r="I33" s="122">
        <v>0.27631578947368424</v>
      </c>
      <c r="J33" s="122">
        <v>0.27536231884057971</v>
      </c>
      <c r="K33" s="122">
        <v>0.20634920634920634</v>
      </c>
    </row>
    <row r="34" spans="1:11" ht="15" customHeight="1">
      <c r="A34" s="123" t="s">
        <v>33</v>
      </c>
      <c r="B34" s="122">
        <v>0.12658227848101267</v>
      </c>
      <c r="C34" s="122">
        <v>0.12182741116751269</v>
      </c>
      <c r="D34" s="122">
        <v>0.18229166666666666</v>
      </c>
      <c r="E34" s="122">
        <v>0.12831858407079647</v>
      </c>
      <c r="F34" s="122">
        <v>0.14917127071823205</v>
      </c>
      <c r="G34" s="122">
        <v>0.13106796116504854</v>
      </c>
      <c r="H34" s="122">
        <v>0.13744075829383887</v>
      </c>
      <c r="I34" s="122">
        <v>0.14814814814814814</v>
      </c>
      <c r="J34" s="122">
        <v>0.11464968152866242</v>
      </c>
      <c r="K34" s="122">
        <v>7.4712643678160925E-2</v>
      </c>
    </row>
  </sheetData>
  <mergeCells count="2">
    <mergeCell ref="J1:K1"/>
    <mergeCell ref="A2:K2"/>
  </mergeCells>
  <hyperlinks>
    <hyperlink ref="J1:K1" location="Home_page" display="Back to_x000a_home page" xr:uid="{022B6CE4-10F1-41E3-9209-457A44109DE3}"/>
  </hyperlinks>
  <pageMargins left="0.70866141732283472" right="0.70866141732283472" top="0.74803149606299213" bottom="0.74803149606299213" header="0.31496062992125984" footer="0.31496062992125984"/>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DA19B-AE74-40B3-A81B-2F0F660A75DD}">
  <sheetPr codeName="Feuil40">
    <pageSetUpPr fitToPage="1"/>
  </sheetPr>
  <dimension ref="A1:N33"/>
  <sheetViews>
    <sheetView topLeftCell="A5" workbookViewId="0">
      <selection activeCell="A13" sqref="A13:XFD13"/>
    </sheetView>
  </sheetViews>
  <sheetFormatPr defaultColWidth="8.625" defaultRowHeight="15" customHeight="1"/>
  <cols>
    <col min="1" max="1" width="32.125" style="52" customWidth="1"/>
    <col min="2" max="2" width="6.625" style="52" customWidth="1"/>
    <col min="3" max="13" width="6.625" style="37" customWidth="1"/>
    <col min="14" max="24" width="6.625" style="52" customWidth="1"/>
    <col min="25" max="16384" width="8.625" style="52"/>
  </cols>
  <sheetData>
    <row r="1" spans="1:14" s="117" customFormat="1" ht="33" customHeight="1" thickBot="1">
      <c r="A1" s="20" t="s">
        <v>7</v>
      </c>
      <c r="B1" s="20"/>
      <c r="C1" s="20"/>
      <c r="D1" s="20"/>
      <c r="E1" s="20"/>
      <c r="F1" s="20"/>
      <c r="G1" s="20"/>
      <c r="H1" s="20"/>
      <c r="I1" s="20"/>
      <c r="L1" s="205" t="s">
        <v>41</v>
      </c>
      <c r="M1" s="205"/>
      <c r="N1" s="127"/>
    </row>
    <row r="2" spans="1:14" ht="15" customHeight="1" thickBot="1">
      <c r="A2" s="118" t="s">
        <v>652</v>
      </c>
      <c r="B2" s="119" t="s">
        <v>233</v>
      </c>
      <c r="C2" s="128">
        <v>2012</v>
      </c>
      <c r="D2" s="128">
        <v>2013</v>
      </c>
      <c r="E2" s="128">
        <v>2014</v>
      </c>
      <c r="F2" s="128">
        <v>2015</v>
      </c>
      <c r="G2" s="128">
        <v>2016</v>
      </c>
      <c r="H2" s="128">
        <v>2017</v>
      </c>
      <c r="I2" s="128">
        <v>2018</v>
      </c>
      <c r="J2" s="128">
        <v>2019</v>
      </c>
      <c r="K2" s="128">
        <v>2020</v>
      </c>
      <c r="L2" s="128">
        <v>2021</v>
      </c>
      <c r="M2" s="120" t="s">
        <v>653</v>
      </c>
      <c r="N2" s="127"/>
    </row>
    <row r="3" spans="1:14" ht="15" customHeight="1">
      <c r="A3" s="121" t="s">
        <v>10</v>
      </c>
      <c r="C3" s="122">
        <v>8.8957611045164781E-2</v>
      </c>
      <c r="D3" s="122">
        <v>0.14218009568574011</v>
      </c>
      <c r="E3" s="122">
        <v>0.12252707093993778</v>
      </c>
      <c r="F3" s="122">
        <v>0.20119487638902897</v>
      </c>
      <c r="G3" s="122">
        <v>0.24549926785724871</v>
      </c>
      <c r="H3" s="122">
        <v>0.17798206566582209</v>
      </c>
      <c r="I3" s="122">
        <v>0.16616078417767377</v>
      </c>
      <c r="J3" s="122">
        <v>0.20795907392789809</v>
      </c>
      <c r="K3" s="122">
        <v>0.1224914639252727</v>
      </c>
      <c r="L3" s="122">
        <v>0.12164798551748986</v>
      </c>
      <c r="M3" s="122">
        <v>1.2669928133291208E-2</v>
      </c>
      <c r="N3" s="127"/>
    </row>
    <row r="4" spans="1:14" ht="15" customHeight="1">
      <c r="A4" s="123" t="s">
        <v>11</v>
      </c>
      <c r="C4" s="122">
        <v>0.25504555069196622</v>
      </c>
      <c r="D4" s="122">
        <v>0.19364544456691976</v>
      </c>
      <c r="E4" s="122">
        <v>0.17141854029405046</v>
      </c>
      <c r="F4" s="122">
        <v>0.27539122159954926</v>
      </c>
      <c r="G4" s="122">
        <v>0.30222736798472155</v>
      </c>
      <c r="H4" s="122">
        <v>0.25396854581228884</v>
      </c>
      <c r="I4" s="122">
        <v>0.17046815593974857</v>
      </c>
      <c r="J4" s="122">
        <v>0.26358513605065292</v>
      </c>
      <c r="K4" s="122">
        <v>0.22719235530508863</v>
      </c>
      <c r="L4" s="122">
        <v>0.15276324261069427</v>
      </c>
      <c r="M4" s="122">
        <v>6.8537277862995988E-2</v>
      </c>
      <c r="N4" s="127"/>
    </row>
    <row r="5" spans="1:14" ht="15" customHeight="1">
      <c r="A5" s="123" t="s">
        <v>12</v>
      </c>
      <c r="C5" s="122">
        <v>0.22282742305114853</v>
      </c>
      <c r="D5" s="122">
        <v>0.21033605941558237</v>
      </c>
      <c r="E5" s="122">
        <v>0.16296920666626746</v>
      </c>
      <c r="F5" s="122">
        <v>0.20361969168419489</v>
      </c>
      <c r="G5" s="122">
        <v>0.21960786214580455</v>
      </c>
      <c r="H5" s="122">
        <v>0.24384374893009295</v>
      </c>
      <c r="I5" s="122">
        <v>0.20616904033422076</v>
      </c>
      <c r="J5" s="122">
        <v>0.16538578100643481</v>
      </c>
      <c r="K5" s="122">
        <v>0.31211844171815128</v>
      </c>
      <c r="L5" s="122">
        <v>0.22904359289034401</v>
      </c>
      <c r="M5" s="122">
        <v>0.17305679872409077</v>
      </c>
      <c r="N5" s="127"/>
    </row>
    <row r="6" spans="1:14" ht="15" customHeight="1">
      <c r="A6" s="123" t="s">
        <v>13</v>
      </c>
      <c r="C6" s="122">
        <v>-7.9576564037552762E-3</v>
      </c>
      <c r="D6" s="122">
        <v>-9.5772558559811607E-3</v>
      </c>
      <c r="E6" s="122">
        <v>2.1263719484829472E-2</v>
      </c>
      <c r="F6" s="122">
        <v>6.7477403109010611E-2</v>
      </c>
      <c r="G6" s="122">
        <v>0.33130521814008107</v>
      </c>
      <c r="H6" s="122">
        <v>6.6443705742981696E-2</v>
      </c>
      <c r="I6" s="122">
        <v>3.4946903808006531E-2</v>
      </c>
      <c r="J6" s="122">
        <v>6.8855388071009965E-2</v>
      </c>
      <c r="K6" s="122">
        <v>3.7663066996106581E-2</v>
      </c>
      <c r="L6" s="122">
        <v>2.1002545837129044E-2</v>
      </c>
      <c r="M6" s="122">
        <v>-3.2591641228479545E-2</v>
      </c>
      <c r="N6" s="127"/>
    </row>
    <row r="7" spans="1:14" ht="15" customHeight="1">
      <c r="A7" s="123" t="s">
        <v>14</v>
      </c>
      <c r="C7" s="122">
        <v>0.18727243381660158</v>
      </c>
      <c r="D7" s="122">
        <v>0.16639180000445897</v>
      </c>
      <c r="E7" s="122">
        <v>0.23516712814615381</v>
      </c>
      <c r="F7" s="122">
        <v>0.21670076419453593</v>
      </c>
      <c r="G7" s="122">
        <v>0.32536852649892556</v>
      </c>
      <c r="H7" s="122">
        <v>0.30550713313665728</v>
      </c>
      <c r="I7" s="122">
        <v>0.25042506942608389</v>
      </c>
      <c r="J7" s="122">
        <v>0.27619657163239114</v>
      </c>
      <c r="K7" s="122">
        <v>0.21783202557942222</v>
      </c>
      <c r="L7" s="122">
        <v>0.20019123511945466</v>
      </c>
      <c r="M7" s="122">
        <v>0.16278690673071938</v>
      </c>
      <c r="N7" s="127"/>
    </row>
    <row r="8" spans="1:14" ht="15" customHeight="1">
      <c r="A8" s="123" t="s">
        <v>15</v>
      </c>
      <c r="C8" s="122">
        <v>0.23642948648749906</v>
      </c>
      <c r="D8" s="122">
        <v>0.11335763688664464</v>
      </c>
      <c r="E8" s="122">
        <v>0.25672900836346751</v>
      </c>
      <c r="F8" s="122">
        <v>0.3131273140464349</v>
      </c>
      <c r="G8" s="122">
        <v>0.20496225803722973</v>
      </c>
      <c r="H8" s="122">
        <v>0.13016376536836635</v>
      </c>
      <c r="I8" s="122">
        <v>0.15423845227182773</v>
      </c>
      <c r="J8" s="122">
        <v>0.12755192875070998</v>
      </c>
      <c r="K8" s="122">
        <v>9.274477207189516E-2</v>
      </c>
      <c r="L8" s="122">
        <v>0.12347889659607066</v>
      </c>
      <c r="M8" s="122">
        <v>0.10002391991820625</v>
      </c>
      <c r="N8" s="127"/>
    </row>
    <row r="9" spans="1:14" ht="15" customHeight="1">
      <c r="A9" s="123" t="s">
        <v>16</v>
      </c>
      <c r="C9" s="122">
        <v>-3.0927094403578246E-2</v>
      </c>
      <c r="D9" s="122">
        <v>0.18133187211673424</v>
      </c>
      <c r="E9" s="122">
        <v>0.17094127775222226</v>
      </c>
      <c r="F9" s="122">
        <v>0.29490746847653732</v>
      </c>
      <c r="G9" s="122">
        <v>0.29803389541802539</v>
      </c>
      <c r="H9" s="122">
        <v>0.13156768732642105</v>
      </c>
      <c r="I9" s="122">
        <v>0.13618385326842189</v>
      </c>
      <c r="J9" s="122">
        <v>0.20725732644803427</v>
      </c>
      <c r="K9" s="122">
        <v>4.5951899952531077E-3</v>
      </c>
      <c r="L9" s="122">
        <v>0.19723942574879613</v>
      </c>
      <c r="M9" s="122">
        <v>0.12716566782228783</v>
      </c>
      <c r="N9" s="127"/>
    </row>
    <row r="10" spans="1:14" ht="15" customHeight="1">
      <c r="A10" s="123" t="s">
        <v>17</v>
      </c>
      <c r="C10" s="122">
        <v>-0.41943340861336281</v>
      </c>
      <c r="D10" s="122">
        <v>-0.52925345277137259</v>
      </c>
      <c r="E10" s="122">
        <v>-1.2745782927075722</v>
      </c>
      <c r="F10" s="122">
        <v>-0.68591823624996284</v>
      </c>
      <c r="G10" s="122">
        <v>-0.42297646904243019</v>
      </c>
      <c r="H10" s="122">
        <v>-1.0768709028534067</v>
      </c>
      <c r="I10" s="122">
        <v>-0.65574840222803221</v>
      </c>
      <c r="J10" s="122">
        <v>-0.67542618584321246</v>
      </c>
      <c r="K10" s="122">
        <v>9.0255423488072611E-2</v>
      </c>
      <c r="L10" s="122">
        <v>-0.95380704729988763</v>
      </c>
      <c r="M10" s="122">
        <v>-1.2717876809322182</v>
      </c>
      <c r="N10" s="127"/>
    </row>
    <row r="11" spans="1:14" ht="15" customHeight="1">
      <c r="A11" s="123" t="s">
        <v>18</v>
      </c>
      <c r="C11" s="122">
        <v>0.18188555080766683</v>
      </c>
      <c r="D11" s="122">
        <v>7.009260707586072E-3</v>
      </c>
      <c r="E11" s="122">
        <v>0.1541633032055835</v>
      </c>
      <c r="F11" s="122">
        <v>-0.14802811827564938</v>
      </c>
      <c r="G11" s="122">
        <v>0.1585316840751386</v>
      </c>
      <c r="H11" s="122">
        <v>0.24934482797608989</v>
      </c>
      <c r="I11" s="122">
        <v>4.6787688567888189E-2</v>
      </c>
      <c r="J11" s="122">
        <v>2.3550957558999053E-2</v>
      </c>
      <c r="K11" s="122">
        <v>0.11136315314595552</v>
      </c>
      <c r="L11" s="122">
        <v>-0.17257076823559253</v>
      </c>
      <c r="M11" s="122">
        <v>-0.18980798188541026</v>
      </c>
      <c r="N11" s="127"/>
    </row>
    <row r="12" spans="1:14" ht="15" customHeight="1">
      <c r="A12" s="123" t="s">
        <v>19</v>
      </c>
      <c r="C12" s="122">
        <v>1.9017323825153911E-3</v>
      </c>
      <c r="D12" s="122">
        <v>-5.4213117634555927E-2</v>
      </c>
      <c r="E12" s="122">
        <v>-1.9681475663344397E-2</v>
      </c>
      <c r="F12" s="122">
        <v>7.1266102768688042E-2</v>
      </c>
      <c r="G12" s="122">
        <v>0.1250170951542755</v>
      </c>
      <c r="H12" s="122">
        <v>3.4323242523739021E-2</v>
      </c>
      <c r="I12" s="122">
        <v>-2.7147336605519976E-2</v>
      </c>
      <c r="J12" s="122">
        <v>-8.6458841872650696E-2</v>
      </c>
      <c r="K12" s="122">
        <v>-0.44697585404304663</v>
      </c>
      <c r="L12" s="122">
        <v>-1.0723661754114409</v>
      </c>
      <c r="M12" s="122">
        <v>-0.65535804097277328</v>
      </c>
      <c r="N12" s="127"/>
    </row>
    <row r="13" spans="1:14" ht="15" customHeight="1">
      <c r="A13" s="123" t="s">
        <v>20</v>
      </c>
      <c r="C13" s="122">
        <v>-1.1474602813344092E-2</v>
      </c>
      <c r="D13" s="122">
        <v>-3.0251801712987376E-2</v>
      </c>
      <c r="E13" s="122">
        <v>-7.6323796686334086E-2</v>
      </c>
      <c r="F13" s="122">
        <v>-1.75563136878021E-2</v>
      </c>
      <c r="G13" s="122">
        <v>9.9992582922057288E-3</v>
      </c>
      <c r="H13" s="122">
        <v>-1.5291551540031407E-2</v>
      </c>
      <c r="I13" s="122">
        <v>-4.8123279281258854E-2</v>
      </c>
      <c r="J13" s="122">
        <v>-0.36997685291891125</v>
      </c>
      <c r="K13" s="122">
        <v>6.0190455242878256E-2</v>
      </c>
      <c r="L13" s="122">
        <v>-2.4678664819366154E-2</v>
      </c>
      <c r="M13" s="122">
        <v>-0.54826996477328482</v>
      </c>
      <c r="N13" s="127"/>
    </row>
    <row r="14" spans="1:14" ht="15" customHeight="1">
      <c r="A14" s="123" t="s">
        <v>21</v>
      </c>
      <c r="C14" s="122">
        <v>0.10208902822274289</v>
      </c>
      <c r="D14" s="122">
        <v>8.7174996638242769E-2</v>
      </c>
      <c r="E14" s="122">
        <v>7.9370807358597945E-2</v>
      </c>
      <c r="F14" s="122">
        <v>9.9647042843346897E-2</v>
      </c>
      <c r="G14" s="122">
        <v>0.1005466060630348</v>
      </c>
      <c r="H14" s="122">
        <v>0.12122732595398791</v>
      </c>
      <c r="I14" s="122">
        <v>7.9415738062761296E-3</v>
      </c>
      <c r="J14" s="122">
        <v>0.11434531036699892</v>
      </c>
      <c r="K14" s="122">
        <v>5.7361836063440641E-2</v>
      </c>
      <c r="L14" s="122">
        <v>8.8827182305400473E-2</v>
      </c>
      <c r="M14" s="122">
        <v>2.9314236465129484E-2</v>
      </c>
      <c r="N14" s="127"/>
    </row>
    <row r="15" spans="1:14" ht="15" customHeight="1">
      <c r="A15" s="123" t="s">
        <v>22</v>
      </c>
      <c r="C15" s="122">
        <v>0.13092194520379277</v>
      </c>
      <c r="D15" s="122">
        <v>6.4095753462585642E-2</v>
      </c>
      <c r="E15" s="122">
        <v>0.11035863010022193</v>
      </c>
      <c r="F15" s="122">
        <v>7.0190264353798673E-2</v>
      </c>
      <c r="G15" s="122">
        <v>0.15402356288129115</v>
      </c>
      <c r="H15" s="122">
        <v>0.15080817099511754</v>
      </c>
      <c r="I15" s="122">
        <v>8.4314341514724139E-2</v>
      </c>
      <c r="J15" s="122">
        <v>6.2709145871557209E-2</v>
      </c>
      <c r="K15" s="122">
        <v>0.16550837017335468</v>
      </c>
      <c r="L15" s="122">
        <v>0.15386660851243339</v>
      </c>
      <c r="M15" s="122">
        <v>0.10053483930654773</v>
      </c>
      <c r="N15" s="127"/>
    </row>
    <row r="16" spans="1:14" ht="15" customHeight="1">
      <c r="A16" s="123" t="s">
        <v>23</v>
      </c>
      <c r="C16" s="122">
        <v>5.578028441314959E-2</v>
      </c>
      <c r="D16" s="122">
        <v>8.0566908033977716E-2</v>
      </c>
      <c r="E16" s="122">
        <v>0.12615648160488019</v>
      </c>
      <c r="F16" s="122">
        <v>0.13507019426994837</v>
      </c>
      <c r="G16" s="122">
        <v>0.1672837929367201</v>
      </c>
      <c r="H16" s="122">
        <v>0.16080990066672976</v>
      </c>
      <c r="I16" s="122">
        <v>0.16513319299012197</v>
      </c>
      <c r="J16" s="122">
        <v>0.1631226865410205</v>
      </c>
      <c r="K16" s="122">
        <v>0.12835777243145385</v>
      </c>
      <c r="L16" s="122">
        <v>0.10007240488469807</v>
      </c>
      <c r="M16" s="122">
        <v>5.8691218903115162E-2</v>
      </c>
      <c r="N16" s="127"/>
    </row>
    <row r="17" spans="1:14" ht="15" customHeight="1">
      <c r="A17" s="123" t="s">
        <v>24</v>
      </c>
      <c r="C17" s="122">
        <v>0.10127750468063418</v>
      </c>
      <c r="D17" s="122">
        <v>0.18824679168030303</v>
      </c>
      <c r="E17" s="122">
        <v>0.20996866273772422</v>
      </c>
      <c r="F17" s="122">
        <v>8.8808199622942258E-2</v>
      </c>
      <c r="G17" s="122">
        <v>0.1864547604345044</v>
      </c>
      <c r="H17" s="122">
        <v>0.16997760463820896</v>
      </c>
      <c r="I17" s="122">
        <v>0.13944278268838425</v>
      </c>
      <c r="J17" s="122">
        <v>0.12562666616311716</v>
      </c>
      <c r="K17" s="122">
        <v>0.15798054838020617</v>
      </c>
      <c r="L17" s="122">
        <v>0.12670916542511204</v>
      </c>
      <c r="M17" s="122">
        <v>9.3211943069306927E-2</v>
      </c>
      <c r="N17" s="127"/>
    </row>
    <row r="18" spans="1:14" ht="15" customHeight="1">
      <c r="A18" s="123" t="s">
        <v>25</v>
      </c>
      <c r="C18" s="122">
        <v>0.18544678154522226</v>
      </c>
      <c r="D18" s="122">
        <v>0.17539431403248212</v>
      </c>
      <c r="E18" s="122">
        <v>0.23861351562234437</v>
      </c>
      <c r="F18" s="122">
        <v>0.21771243758745015</v>
      </c>
      <c r="G18" s="122">
        <v>0.220827342065118</v>
      </c>
      <c r="H18" s="122">
        <v>0.25499417811530561</v>
      </c>
      <c r="I18" s="122">
        <v>0.2653012071159398</v>
      </c>
      <c r="J18" s="122">
        <v>0.15297786779728653</v>
      </c>
      <c r="K18" s="122">
        <v>0.16197116599789749</v>
      </c>
      <c r="L18" s="122">
        <v>7.5317117653290133E-2</v>
      </c>
      <c r="M18" s="122">
        <v>7.1428449266693728E-2</v>
      </c>
      <c r="N18" s="127"/>
    </row>
    <row r="19" spans="1:14" ht="15" customHeight="1">
      <c r="A19" s="123" t="s">
        <v>26</v>
      </c>
      <c r="C19" s="122">
        <v>8.3394807000713556E-2</v>
      </c>
      <c r="D19" s="122">
        <v>0.15468068379325445</v>
      </c>
      <c r="E19" s="122">
        <v>0.15859606126715856</v>
      </c>
      <c r="F19" s="122">
        <v>0.12351926012476566</v>
      </c>
      <c r="G19" s="122">
        <v>0.17833823968171342</v>
      </c>
      <c r="H19" s="122">
        <v>0.27042609568330195</v>
      </c>
      <c r="I19" s="122">
        <v>0.13226741496974578</v>
      </c>
      <c r="J19" s="122">
        <v>0.22722966815280649</v>
      </c>
      <c r="K19" s="122">
        <v>0.12653451394875828</v>
      </c>
      <c r="L19" s="122">
        <v>0.16836135501847263</v>
      </c>
      <c r="M19" s="122">
        <v>0.10548042106948902</v>
      </c>
      <c r="N19" s="127"/>
    </row>
    <row r="20" spans="1:14" ht="15" customHeight="1">
      <c r="A20" s="123" t="s">
        <v>27</v>
      </c>
      <c r="C20" s="122">
        <v>0.17113848668502965</v>
      </c>
      <c r="D20" s="122">
        <v>0.1502232474338864</v>
      </c>
      <c r="E20" s="122">
        <v>0.13907358727504027</v>
      </c>
      <c r="F20" s="122">
        <v>0.16007288438920358</v>
      </c>
      <c r="G20" s="122">
        <v>0.1614494885329413</v>
      </c>
      <c r="H20" s="122">
        <v>0.27759076865200932</v>
      </c>
      <c r="I20" s="122">
        <v>0.13770552482672133</v>
      </c>
      <c r="J20" s="122">
        <v>6.1632835405192286E-2</v>
      </c>
      <c r="K20" s="122">
        <v>3.5123285942387499E-2</v>
      </c>
      <c r="L20" s="122">
        <v>-5.2929910817010338E-2</v>
      </c>
      <c r="M20" s="122">
        <v>1.0520323809097008E-2</v>
      </c>
      <c r="N20" s="127"/>
    </row>
    <row r="21" spans="1:14" ht="15" customHeight="1">
      <c r="A21" s="123" t="s">
        <v>28</v>
      </c>
      <c r="C21" s="122">
        <v>0.32325855106994561</v>
      </c>
      <c r="D21" s="122">
        <v>0.21977103434796202</v>
      </c>
      <c r="E21" s="122">
        <v>0.28337958561791876</v>
      </c>
      <c r="F21" s="122">
        <v>0.3336063967607576</v>
      </c>
      <c r="G21" s="122">
        <v>0.32887246577051132</v>
      </c>
      <c r="H21" s="122">
        <v>0.34925540800923122</v>
      </c>
      <c r="I21" s="122">
        <v>0.35872771363181938</v>
      </c>
      <c r="J21" s="122">
        <v>0.33473165119258963</v>
      </c>
      <c r="K21" s="122">
        <v>0.32474976950456363</v>
      </c>
      <c r="L21" s="122">
        <v>0.32531576691127045</v>
      </c>
      <c r="M21" s="122">
        <v>0.30001832208049506</v>
      </c>
      <c r="N21" s="127"/>
    </row>
    <row r="22" spans="1:14" ht="15" customHeight="1">
      <c r="A22" s="123" t="s">
        <v>29</v>
      </c>
      <c r="C22" s="122">
        <v>0.19206209450448167</v>
      </c>
      <c r="D22" s="122">
        <v>0.17150545786284113</v>
      </c>
      <c r="E22" s="122">
        <v>0.20307304959853051</v>
      </c>
      <c r="F22" s="122">
        <v>0.22182882122319877</v>
      </c>
      <c r="G22" s="122">
        <v>0.23130924634695188</v>
      </c>
      <c r="H22" s="122">
        <v>0.25752147908924822</v>
      </c>
      <c r="I22" s="122">
        <v>0.2257182546479668</v>
      </c>
      <c r="J22" s="122">
        <v>0.22962063781301414</v>
      </c>
      <c r="K22" s="122">
        <v>0.1995758873866017</v>
      </c>
      <c r="L22" s="122">
        <v>0.2049885796704522</v>
      </c>
      <c r="M22" s="122">
        <v>0.16301584387871002</v>
      </c>
      <c r="N22" s="127"/>
    </row>
    <row r="23" spans="1:14" ht="15" customHeight="1">
      <c r="A23" s="123" t="s">
        <v>30</v>
      </c>
      <c r="C23" s="122">
        <v>3.7977104112935908E-2</v>
      </c>
      <c r="D23" s="122">
        <v>1.7194677214037796E-2</v>
      </c>
      <c r="E23" s="122">
        <v>7.7737384392951206E-2</v>
      </c>
      <c r="F23" s="122">
        <v>7.5342511056819619E-2</v>
      </c>
      <c r="G23" s="122">
        <v>0.16498361924145324</v>
      </c>
      <c r="H23" s="122">
        <v>0.16409021906849225</v>
      </c>
      <c r="I23" s="122">
        <v>0.11230117972809432</v>
      </c>
      <c r="J23" s="122">
        <v>8.5321378331292469E-2</v>
      </c>
      <c r="K23" s="122">
        <v>2.8332358214893889E-2</v>
      </c>
      <c r="L23" s="122">
        <v>0.12348295485070294</v>
      </c>
      <c r="M23" s="122">
        <v>6.0210477732603976E-2</v>
      </c>
      <c r="N23" s="127"/>
    </row>
    <row r="24" spans="1:14" ht="15" customHeight="1">
      <c r="A24" s="123" t="s">
        <v>31</v>
      </c>
      <c r="C24" s="122">
        <v>0.1376733659798926</v>
      </c>
      <c r="D24" s="122">
        <v>6.367122562995868E-2</v>
      </c>
      <c r="E24" s="122">
        <v>5.2728805297889147E-2</v>
      </c>
      <c r="F24" s="122">
        <v>0.13713406416822294</v>
      </c>
      <c r="G24" s="122">
        <v>0.24072708713611374</v>
      </c>
      <c r="H24" s="122">
        <v>0.22995223574698867</v>
      </c>
      <c r="I24" s="122">
        <v>0.15307464729191611</v>
      </c>
      <c r="J24" s="122">
        <v>0.2361169946573014</v>
      </c>
      <c r="K24" s="122">
        <v>0.20268990388866198</v>
      </c>
      <c r="L24" s="122">
        <v>0.19048557551119735</v>
      </c>
      <c r="M24" s="122">
        <v>0.13688210817931834</v>
      </c>
      <c r="N24" s="127"/>
    </row>
    <row r="25" spans="1:14" ht="15" customHeight="1">
      <c r="A25" s="123" t="s">
        <v>34</v>
      </c>
      <c r="C25" s="122">
        <v>0.19303286338946737</v>
      </c>
      <c r="D25" s="122">
        <v>0.22754066180428972</v>
      </c>
      <c r="E25" s="122">
        <v>0.21116618371553333</v>
      </c>
      <c r="F25" s="122">
        <v>0.19463067369613002</v>
      </c>
      <c r="G25" s="122">
        <v>0.29313953979955987</v>
      </c>
      <c r="H25" s="122">
        <v>0.30600394369453837</v>
      </c>
      <c r="I25" s="122">
        <v>0.19671017898568069</v>
      </c>
      <c r="J25" s="122">
        <v>0.23067252328832691</v>
      </c>
      <c r="K25" s="122">
        <v>0.31272392641889235</v>
      </c>
      <c r="L25" s="122">
        <v>0.15649625014794322</v>
      </c>
      <c r="M25" s="122">
        <v>0.12770211059324879</v>
      </c>
      <c r="N25" s="127"/>
    </row>
    <row r="26" spans="1:14" ht="15" customHeight="1">
      <c r="A26" s="123" t="s">
        <v>35</v>
      </c>
      <c r="C26" s="122">
        <v>0.33870702039070882</v>
      </c>
      <c r="D26" s="122">
        <v>0.30340755595167823</v>
      </c>
      <c r="E26" s="122">
        <v>0.34479938002397276</v>
      </c>
      <c r="F26" s="122">
        <v>0.25675140920573347</v>
      </c>
      <c r="G26" s="122">
        <v>0.30484416701419492</v>
      </c>
      <c r="H26" s="122">
        <v>0.36543310465294443</v>
      </c>
      <c r="I26" s="122">
        <v>0.29145899558182659</v>
      </c>
      <c r="J26" s="122">
        <v>0.2874211975057514</v>
      </c>
      <c r="K26" s="122">
        <v>0.42666475333715165</v>
      </c>
      <c r="L26" s="122">
        <v>0.33217461972938778</v>
      </c>
      <c r="M26" s="122">
        <v>0.30125227823931328</v>
      </c>
      <c r="N26" s="127"/>
    </row>
    <row r="27" spans="1:14" ht="15" customHeight="1">
      <c r="A27" s="123" t="s">
        <v>36</v>
      </c>
      <c r="C27" s="122">
        <v>0.18696067205529265</v>
      </c>
      <c r="D27" s="122">
        <v>0.22009039629392665</v>
      </c>
      <c r="E27" s="122">
        <v>0.1970339434411553</v>
      </c>
      <c r="F27" s="122">
        <v>0.19787391557593434</v>
      </c>
      <c r="G27" s="122">
        <v>0.31114320496086839</v>
      </c>
      <c r="H27" s="122">
        <v>0.30800351991690122</v>
      </c>
      <c r="I27" s="122">
        <v>0.29262253808279487</v>
      </c>
      <c r="J27" s="122">
        <v>0.27236723625756049</v>
      </c>
      <c r="K27" s="122">
        <v>0.28554511220692819</v>
      </c>
      <c r="L27" s="122">
        <v>0.31174591252000722</v>
      </c>
      <c r="M27" s="122">
        <v>0.27903668447930136</v>
      </c>
      <c r="N27" s="127"/>
    </row>
    <row r="28" spans="1:14" ht="15" customHeight="1">
      <c r="A28" s="123" t="s">
        <v>37</v>
      </c>
      <c r="C28" s="122">
        <v>0.18149664397773865</v>
      </c>
      <c r="D28" s="122">
        <v>0.28566434036330507</v>
      </c>
      <c r="E28" s="122">
        <v>0.28364926035525556</v>
      </c>
      <c r="F28" s="122">
        <v>0.32829830775890112</v>
      </c>
      <c r="G28" s="122">
        <v>0.36744037478705283</v>
      </c>
      <c r="H28" s="122">
        <v>0.30266472968154667</v>
      </c>
      <c r="I28" s="122">
        <v>0.28800727582976376</v>
      </c>
      <c r="J28" s="122">
        <v>0.32934397986533709</v>
      </c>
      <c r="K28" s="122">
        <v>0.28247996600896752</v>
      </c>
      <c r="L28" s="122">
        <v>0.39419017621180702</v>
      </c>
      <c r="M28" s="122">
        <v>0.37277761480603899</v>
      </c>
      <c r="N28" s="127"/>
    </row>
    <row r="29" spans="1:14" ht="15" customHeight="1">
      <c r="A29" s="123" t="s">
        <v>38</v>
      </c>
      <c r="C29" s="122">
        <v>0.21578383320839228</v>
      </c>
      <c r="D29" s="122">
        <v>0.12736269774390047</v>
      </c>
      <c r="E29" s="122">
        <v>0.19180590298218195</v>
      </c>
      <c r="F29" s="122">
        <v>0.15456238242477516</v>
      </c>
      <c r="G29" s="122">
        <v>0.1718811747713864</v>
      </c>
      <c r="H29" s="122">
        <v>0.13399606668150374</v>
      </c>
      <c r="I29" s="122">
        <v>6.2997152646516286E-2</v>
      </c>
      <c r="J29" s="122">
        <v>0.14679142886601784</v>
      </c>
      <c r="K29" s="122">
        <v>8.9749213926183805E-2</v>
      </c>
      <c r="L29" s="122">
        <v>6.6172973346554947E-2</v>
      </c>
      <c r="M29" s="122">
        <v>1.3689448684722411E-2</v>
      </c>
      <c r="N29" s="127"/>
    </row>
    <row r="30" spans="1:14" ht="15" customHeight="1">
      <c r="A30" s="123" t="s">
        <v>39</v>
      </c>
      <c r="C30" s="122">
        <v>0.2163111989828034</v>
      </c>
      <c r="D30" s="122">
        <v>0.15586921710802662</v>
      </c>
      <c r="E30" s="122">
        <v>0.1699690727219928</v>
      </c>
      <c r="F30" s="122">
        <v>0.19832370697522289</v>
      </c>
      <c r="G30" s="122">
        <v>0.20275661305635331</v>
      </c>
      <c r="H30" s="122">
        <v>0.16767744803147394</v>
      </c>
      <c r="I30" s="122">
        <v>0.16105730750227104</v>
      </c>
      <c r="J30" s="122">
        <v>0.1614865354621598</v>
      </c>
      <c r="K30" s="122">
        <v>0.17409234248035788</v>
      </c>
      <c r="L30" s="122">
        <v>2.7597900229697728E-2</v>
      </c>
      <c r="M30" s="122">
        <v>-5.2105901442000765E-3</v>
      </c>
      <c r="N30" s="127"/>
    </row>
    <row r="31" spans="1:14" ht="15" customHeight="1">
      <c r="A31" s="123" t="s">
        <v>32</v>
      </c>
      <c r="C31" s="122">
        <v>0.21936866817929643</v>
      </c>
      <c r="D31" s="122">
        <v>0.17713758696462245</v>
      </c>
      <c r="E31" s="122">
        <v>0.15671503473824044</v>
      </c>
      <c r="F31" s="122">
        <v>0.18961723821095205</v>
      </c>
      <c r="G31" s="122">
        <v>0.13067226167301479</v>
      </c>
      <c r="H31" s="122">
        <v>0.19331318537479977</v>
      </c>
      <c r="I31" s="122">
        <v>1.7146118189679708E-2</v>
      </c>
      <c r="J31" s="122">
        <v>0.15239506060834168</v>
      </c>
      <c r="K31" s="122">
        <v>0.14184618123387496</v>
      </c>
      <c r="L31" s="122">
        <v>0.16789627904465951</v>
      </c>
      <c r="M31" s="122">
        <v>0.11533009053741188</v>
      </c>
      <c r="N31" s="127"/>
    </row>
    <row r="32" spans="1:14" ht="15" customHeight="1" thickBot="1">
      <c r="A32" s="124" t="s">
        <v>33</v>
      </c>
      <c r="B32" s="129"/>
      <c r="C32" s="126">
        <v>0.22365265614119131</v>
      </c>
      <c r="D32" s="126">
        <v>0.16568994042156318</v>
      </c>
      <c r="E32" s="126">
        <v>0.18859621000992538</v>
      </c>
      <c r="F32" s="126">
        <v>0.21928278259350947</v>
      </c>
      <c r="G32" s="126">
        <v>0.21729894982200701</v>
      </c>
      <c r="H32" s="126">
        <v>0.14799339211872792</v>
      </c>
      <c r="I32" s="126">
        <v>0.18663410384780899</v>
      </c>
      <c r="J32" s="126">
        <v>0.15409775867279113</v>
      </c>
      <c r="K32" s="126">
        <v>0.19929099222382596</v>
      </c>
      <c r="L32" s="126">
        <v>0.11432988726162702</v>
      </c>
      <c r="M32" s="126">
        <v>6.5428133981272091E-2</v>
      </c>
      <c r="N32" s="130"/>
    </row>
    <row r="33" spans="1:1" ht="15" customHeight="1">
      <c r="A33" s="42" t="s">
        <v>654</v>
      </c>
    </row>
  </sheetData>
  <mergeCells count="1">
    <mergeCell ref="L1:M1"/>
  </mergeCells>
  <hyperlinks>
    <hyperlink ref="L1:M1" location="Home_page" display="Back to_x000a_home page" xr:uid="{3B7B007D-950B-49EC-92F0-D534C154C96C}"/>
  </hyperlinks>
  <pageMargins left="0.70866141732283472" right="0.70866141732283472" top="0.74803149606299213" bottom="0.74803149606299213" header="0.31496062992125984" footer="0.31496062992125984"/>
  <pageSetup paperSize="9" scale="96" orientation="landscape"/>
  <extLst>
    <ext xmlns:x14="http://schemas.microsoft.com/office/spreadsheetml/2009/9/main" uri="{05C60535-1F16-4fd2-B633-F4F36F0B64E0}">
      <x14:sparklineGroups xmlns:xm="http://schemas.microsoft.com/office/excel/2006/main">
        <x14:sparklineGroup manualMax="0" manualMin="0" displayEmptyCellsAs="gap" high="1" low="1" xr2:uid="{C61E27A4-9115-41BC-A4A1-8A9925F569AD}">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'Operating profit margin'!C3:M3</xm:f>
              <xm:sqref>B3</xm:sqref>
            </x14:sparkline>
            <x14:sparkline>
              <xm:f>'Operating profit margin'!C4:M4</xm:f>
              <xm:sqref>B4</xm:sqref>
            </x14:sparkline>
            <x14:sparkline>
              <xm:f>'Operating profit margin'!C5:M5</xm:f>
              <xm:sqref>B5</xm:sqref>
            </x14:sparkline>
            <x14:sparkline>
              <xm:f>'Operating profit margin'!C6:M6</xm:f>
              <xm:sqref>B6</xm:sqref>
            </x14:sparkline>
            <x14:sparkline>
              <xm:f>'Operating profit margin'!C7:M7</xm:f>
              <xm:sqref>B7</xm:sqref>
            </x14:sparkline>
            <x14:sparkline>
              <xm:f>'Operating profit margin'!C8:M8</xm:f>
              <xm:sqref>B8</xm:sqref>
            </x14:sparkline>
            <x14:sparkline>
              <xm:f>'Operating profit margin'!C9:M9</xm:f>
              <xm:sqref>B9</xm:sqref>
            </x14:sparkline>
            <x14:sparkline>
              <xm:f>'Operating profit margin'!C10:M10</xm:f>
              <xm:sqref>B10</xm:sqref>
            </x14:sparkline>
            <x14:sparkline>
              <xm:f>'Operating profit margin'!C11:M11</xm:f>
              <xm:sqref>B11</xm:sqref>
            </x14:sparkline>
            <x14:sparkline>
              <xm:f>'Operating profit margin'!C12:M12</xm:f>
              <xm:sqref>B12</xm:sqref>
            </x14:sparkline>
            <x14:sparkline>
              <xm:f>'Operating profit margin'!C13:M13</xm:f>
              <xm:sqref>B13</xm:sqref>
            </x14:sparkline>
            <x14:sparkline>
              <xm:f>'Operating profit margin'!C14:M14</xm:f>
              <xm:sqref>B14</xm:sqref>
            </x14:sparkline>
            <x14:sparkline>
              <xm:f>'Operating profit margin'!C15:M15</xm:f>
              <xm:sqref>B15</xm:sqref>
            </x14:sparkline>
            <x14:sparkline>
              <xm:f>'Operating profit margin'!C16:M16</xm:f>
              <xm:sqref>B16</xm:sqref>
            </x14:sparkline>
            <x14:sparkline>
              <xm:f>'Operating profit margin'!C17:M17</xm:f>
              <xm:sqref>B17</xm:sqref>
            </x14:sparkline>
            <x14:sparkline>
              <xm:f>'Operating profit margin'!C18:M18</xm:f>
              <xm:sqref>B18</xm:sqref>
            </x14:sparkline>
            <x14:sparkline>
              <xm:f>'Operating profit margin'!C19:M19</xm:f>
              <xm:sqref>B19</xm:sqref>
            </x14:sparkline>
            <x14:sparkline>
              <xm:f>'Operating profit margin'!C20:M20</xm:f>
              <xm:sqref>B20</xm:sqref>
            </x14:sparkline>
            <x14:sparkline>
              <xm:f>'Operating profit margin'!C21:M21</xm:f>
              <xm:sqref>B21</xm:sqref>
            </x14:sparkline>
            <x14:sparkline>
              <xm:f>'Operating profit margin'!C22:M22</xm:f>
              <xm:sqref>B22</xm:sqref>
            </x14:sparkline>
            <x14:sparkline>
              <xm:f>'Operating profit margin'!C23:M23</xm:f>
              <xm:sqref>B23</xm:sqref>
            </x14:sparkline>
            <x14:sparkline>
              <xm:f>'Operating profit margin'!C24:M24</xm:f>
              <xm:sqref>B24</xm:sqref>
            </x14:sparkline>
            <x14:sparkline>
              <xm:f>'Operating profit margin'!C25:M25</xm:f>
              <xm:sqref>B25</xm:sqref>
            </x14:sparkline>
            <x14:sparkline>
              <xm:f>'Operating profit margin'!C26:M26</xm:f>
              <xm:sqref>B26</xm:sqref>
            </x14:sparkline>
            <x14:sparkline>
              <xm:f>'Operating profit margin'!C27:M27</xm:f>
              <xm:sqref>B27</xm:sqref>
            </x14:sparkline>
            <x14:sparkline>
              <xm:f>'Operating profit margin'!C28:M28</xm:f>
              <xm:sqref>B28</xm:sqref>
            </x14:sparkline>
            <x14:sparkline>
              <xm:f>'Operating profit margin'!C29:M29</xm:f>
              <xm:sqref>B29</xm:sqref>
            </x14:sparkline>
            <x14:sparkline>
              <xm:f>'Operating profit margin'!C30:M30</xm:f>
              <xm:sqref>B30</xm:sqref>
            </x14:sparkline>
            <x14:sparkline>
              <xm:f>'Operating profit margin'!C31:M31</xm:f>
              <xm:sqref>B31</xm:sqref>
            </x14:sparkline>
            <x14:sparkline>
              <xm:f>'Operating profit margin'!C32:M32</xm:f>
              <xm:sqref>B32</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A363D-EDC9-4AF7-B607-44EF0015C7EA}">
  <sheetPr codeName="Feuil39">
    <pageSetUpPr fitToPage="1"/>
  </sheetPr>
  <dimension ref="A1:M33"/>
  <sheetViews>
    <sheetView topLeftCell="A8" workbookViewId="0"/>
  </sheetViews>
  <sheetFormatPr defaultColWidth="8.625" defaultRowHeight="15" customHeight="1"/>
  <cols>
    <col min="1" max="1" width="32.125" style="117" customWidth="1"/>
    <col min="2" max="2" width="6.625" style="117" customWidth="1"/>
    <col min="3" max="13" width="6.625" style="116" customWidth="1"/>
    <col min="14" max="24" width="6.625" style="117" customWidth="1"/>
    <col min="25" max="16384" width="8.625" style="117"/>
  </cols>
  <sheetData>
    <row r="1" spans="1:13" ht="33" customHeight="1" thickBot="1">
      <c r="A1" s="20" t="s">
        <v>8</v>
      </c>
      <c r="B1" s="20"/>
      <c r="C1" s="20"/>
      <c r="D1" s="20"/>
      <c r="E1" s="20"/>
      <c r="F1" s="20"/>
      <c r="J1" s="117"/>
      <c r="K1" s="205" t="s">
        <v>41</v>
      </c>
      <c r="L1" s="205"/>
      <c r="M1" s="205"/>
    </row>
    <row r="2" spans="1:13" ht="15" customHeight="1" thickBot="1">
      <c r="A2" s="118" t="s">
        <v>652</v>
      </c>
      <c r="B2" s="119" t="s">
        <v>233</v>
      </c>
      <c r="C2" s="120">
        <v>2012</v>
      </c>
      <c r="D2" s="120">
        <v>2013</v>
      </c>
      <c r="E2" s="120">
        <v>2014</v>
      </c>
      <c r="F2" s="120">
        <v>2015</v>
      </c>
      <c r="G2" s="120">
        <v>2016</v>
      </c>
      <c r="H2" s="120">
        <v>2017</v>
      </c>
      <c r="I2" s="120">
        <v>2018</v>
      </c>
      <c r="J2" s="120">
        <v>2019</v>
      </c>
      <c r="K2" s="120">
        <v>2020</v>
      </c>
      <c r="L2" s="120">
        <v>2021</v>
      </c>
      <c r="M2" s="120">
        <v>2022</v>
      </c>
    </row>
    <row r="3" spans="1:13" ht="15" customHeight="1">
      <c r="A3" s="121" t="s">
        <v>10</v>
      </c>
      <c r="C3" s="122">
        <v>8.8957611045164781E-2</v>
      </c>
      <c r="D3" s="122">
        <v>9.3373172041123109E-2</v>
      </c>
      <c r="E3" s="122">
        <v>0.11333000945484918</v>
      </c>
      <c r="F3" s="122">
        <v>0.12284994927411556</v>
      </c>
      <c r="G3" s="122">
        <v>0.20788223653857132</v>
      </c>
      <c r="H3" s="122">
        <v>0.1389715345269476</v>
      </c>
      <c r="I3" s="122">
        <v>0.13557773327479355</v>
      </c>
      <c r="J3" s="122">
        <v>0.16871882555640574</v>
      </c>
      <c r="K3" s="122">
        <v>-2.5643042666233417E-2</v>
      </c>
      <c r="L3" s="122">
        <v>7.5735827323636665E-2</v>
      </c>
      <c r="M3" s="122"/>
    </row>
    <row r="4" spans="1:13" ht="15" customHeight="1">
      <c r="A4" s="123" t="s">
        <v>11</v>
      </c>
      <c r="C4" s="122">
        <v>0.22978086863958788</v>
      </c>
      <c r="D4" s="122">
        <v>6.9732430406166127E-2</v>
      </c>
      <c r="E4" s="122">
        <v>0.11263332738718984</v>
      </c>
      <c r="F4" s="122">
        <v>0.11796363503241111</v>
      </c>
      <c r="G4" s="122">
        <v>0.14852791017650097</v>
      </c>
      <c r="H4" s="122">
        <v>7.8682185169465318E-2</v>
      </c>
      <c r="I4" s="122">
        <v>0.11605700300744057</v>
      </c>
      <c r="J4" s="122">
        <v>0.21814496851624082</v>
      </c>
      <c r="K4" s="122">
        <v>0.16266297619933126</v>
      </c>
      <c r="L4" s="122">
        <v>6.7232879113163614E-3</v>
      </c>
      <c r="M4" s="122"/>
    </row>
    <row r="5" spans="1:13" ht="15" customHeight="1">
      <c r="A5" s="123" t="s">
        <v>12</v>
      </c>
      <c r="C5" s="122">
        <v>0.18942821450378136</v>
      </c>
      <c r="D5" s="122">
        <v>0.17704850739661585</v>
      </c>
      <c r="E5" s="122">
        <v>0.11025175879064036</v>
      </c>
      <c r="F5" s="122">
        <v>0.17369296374984194</v>
      </c>
      <c r="G5" s="122">
        <v>0.20542530676530238</v>
      </c>
      <c r="H5" s="122">
        <v>0.2223052312030098</v>
      </c>
      <c r="I5" s="122">
        <v>0.11973968860865913</v>
      </c>
      <c r="J5" s="122">
        <v>0.11708825025304415</v>
      </c>
      <c r="K5" s="122">
        <v>0.25191794253074667</v>
      </c>
      <c r="L5" s="122">
        <v>0.12132516277084568</v>
      </c>
      <c r="M5" s="122"/>
    </row>
    <row r="6" spans="1:13" ht="15" customHeight="1">
      <c r="A6" s="123" t="s">
        <v>13</v>
      </c>
      <c r="C6" s="122">
        <v>-7.9576564037552762E-3</v>
      </c>
      <c r="D6" s="122">
        <v>-9.5772558559811607E-3</v>
      </c>
      <c r="E6" s="122">
        <v>2.1263719484829472E-2</v>
      </c>
      <c r="F6" s="122">
        <v>6.7477403109010611E-2</v>
      </c>
      <c r="G6" s="122">
        <v>0.33130521814008107</v>
      </c>
      <c r="H6" s="122">
        <v>6.1628478327450255E-2</v>
      </c>
      <c r="I6" s="122">
        <v>3.4946903808006531E-2</v>
      </c>
      <c r="J6" s="122">
        <v>7.0588939256172618E-3</v>
      </c>
      <c r="K6" s="122">
        <v>3.7663066996106581E-2</v>
      </c>
      <c r="L6" s="122">
        <v>2.1002545837129044E-2</v>
      </c>
      <c r="M6" s="122"/>
    </row>
    <row r="7" spans="1:13" ht="15" customHeight="1">
      <c r="A7" s="123" t="s">
        <v>14</v>
      </c>
      <c r="C7" s="122">
        <v>0.13290947144304735</v>
      </c>
      <c r="D7" s="122">
        <v>0.11895080933583366</v>
      </c>
      <c r="E7" s="122">
        <v>0.19153000458204431</v>
      </c>
      <c r="F7" s="122">
        <v>0.16893050194846132</v>
      </c>
      <c r="G7" s="122">
        <v>0.26719059228417408</v>
      </c>
      <c r="H7" s="122">
        <v>0.2433720098883366</v>
      </c>
      <c r="I7" s="122">
        <v>0.21962653942327776</v>
      </c>
      <c r="J7" s="122">
        <v>0.2347510202226131</v>
      </c>
      <c r="K7" s="122">
        <v>0.17689946518486921</v>
      </c>
      <c r="L7" s="122">
        <v>0.14619725833318378</v>
      </c>
      <c r="M7" s="122"/>
    </row>
    <row r="8" spans="1:13" ht="15" customHeight="1">
      <c r="A8" s="123" t="s">
        <v>15</v>
      </c>
      <c r="C8" s="122">
        <v>0.20320225509227513</v>
      </c>
      <c r="D8" s="122">
        <v>4.073402189158485E-2</v>
      </c>
      <c r="E8" s="122">
        <v>0.1941425812533927</v>
      </c>
      <c r="F8" s="122">
        <v>0.25594150534048049</v>
      </c>
      <c r="G8" s="122">
        <v>0.13561330310477088</v>
      </c>
      <c r="H8" s="122">
        <v>0.11064818016816973</v>
      </c>
      <c r="I8" s="122">
        <v>0.10118428794313626</v>
      </c>
      <c r="J8" s="122">
        <v>8.427331849537778E-2</v>
      </c>
      <c r="K8" s="122">
        <v>3.8983576478804294E-2</v>
      </c>
      <c r="L8" s="122">
        <v>8.964239625002636E-2</v>
      </c>
      <c r="M8" s="122"/>
    </row>
    <row r="9" spans="1:13" ht="15" customHeight="1">
      <c r="A9" s="123" t="s">
        <v>16</v>
      </c>
      <c r="C9" s="122">
        <v>-4.0211845192103864E-2</v>
      </c>
      <c r="D9" s="122">
        <v>0.1102799601478324</v>
      </c>
      <c r="E9" s="122">
        <v>0.10470307855112349</v>
      </c>
      <c r="F9" s="122">
        <v>0.24544335240175696</v>
      </c>
      <c r="G9" s="122">
        <v>0.25171262595495386</v>
      </c>
      <c r="H9" s="122">
        <v>7.8026594021880141E-2</v>
      </c>
      <c r="I9" s="122">
        <v>7.2142450524474641E-2</v>
      </c>
      <c r="J9" s="122">
        <v>9.0881825846091793E-2</v>
      </c>
      <c r="K9" s="122">
        <v>-0.16089899527993254</v>
      </c>
      <c r="L9" s="122">
        <v>0.19723942574879613</v>
      </c>
      <c r="M9" s="122"/>
    </row>
    <row r="10" spans="1:13" ht="15" customHeight="1">
      <c r="A10" s="123" t="s">
        <v>17</v>
      </c>
      <c r="C10" s="122">
        <v>-0.52200437008431011</v>
      </c>
      <c r="D10" s="122">
        <v>-0.53875742513636726</v>
      </c>
      <c r="E10" s="122">
        <v>-1.4058321873869066</v>
      </c>
      <c r="F10" s="122">
        <v>-0.69674178310015566</v>
      </c>
      <c r="G10" s="122">
        <v>-0.42297646904243019</v>
      </c>
      <c r="H10" s="122">
        <v>-1.1718132488996706</v>
      </c>
      <c r="I10" s="122">
        <v>-0.78307071520222493</v>
      </c>
      <c r="J10" s="122">
        <v>-0.8093868750461416</v>
      </c>
      <c r="K10" s="122">
        <v>9.0255423488072611E-2</v>
      </c>
      <c r="L10" s="122">
        <v>-0.95380704729988763</v>
      </c>
      <c r="M10" s="122"/>
    </row>
    <row r="11" spans="1:13" ht="15" customHeight="1">
      <c r="A11" s="123" t="s">
        <v>18</v>
      </c>
      <c r="C11" s="122">
        <v>-8.2836207848332857E-2</v>
      </c>
      <c r="D11" s="122">
        <v>-7.0845060589215386E-2</v>
      </c>
      <c r="E11" s="122">
        <v>7.2459302569953699E-2</v>
      </c>
      <c r="F11" s="122">
        <v>-0.29333804184385792</v>
      </c>
      <c r="G11" s="122">
        <v>6.5526239097953132E-2</v>
      </c>
      <c r="H11" s="122">
        <v>0.13055278917181551</v>
      </c>
      <c r="I11" s="122">
        <v>-5.2304013405089549E-2</v>
      </c>
      <c r="J11" s="122">
        <v>-0.11024566347779913</v>
      </c>
      <c r="K11" s="122">
        <v>-5.9076517405615009E-2</v>
      </c>
      <c r="L11" s="122">
        <v>-0.37359260347785456</v>
      </c>
      <c r="M11" s="122"/>
    </row>
    <row r="12" spans="1:13" ht="15" customHeight="1">
      <c r="A12" s="123" t="s">
        <v>19</v>
      </c>
      <c r="C12" s="122">
        <v>-9.2577113723268656E-2</v>
      </c>
      <c r="D12" s="122">
        <v>-0.12480832750239332</v>
      </c>
      <c r="E12" s="122">
        <v>-0.14231238152321107</v>
      </c>
      <c r="F12" s="122">
        <v>-6.110952382440317E-2</v>
      </c>
      <c r="G12" s="122">
        <v>-3.6506007848435807E-3</v>
      </c>
      <c r="H12" s="122">
        <v>3.4323242523739021E-2</v>
      </c>
      <c r="I12" s="122">
        <v>-0.22132842446458928</v>
      </c>
      <c r="J12" s="122">
        <v>-8.6458841872650696E-2</v>
      </c>
      <c r="K12" s="122">
        <v>-0.44697585404304663</v>
      </c>
      <c r="L12" s="122">
        <v>-1.0723661754114409</v>
      </c>
      <c r="M12" s="122"/>
    </row>
    <row r="13" spans="1:13" ht="15" customHeight="1">
      <c r="A13" s="123" t="s">
        <v>20</v>
      </c>
      <c r="C13" s="122">
        <v>-0.17697723864802031</v>
      </c>
      <c r="D13" s="122">
        <v>-3.0251801712987376E-2</v>
      </c>
      <c r="E13" s="122">
        <v>-7.6323796686334086E-2</v>
      </c>
      <c r="F13" s="122">
        <v>-1.75563136878021E-2</v>
      </c>
      <c r="G13" s="122">
        <v>9.9992582922057288E-3</v>
      </c>
      <c r="H13" s="122">
        <v>-1.5291551540031407E-2</v>
      </c>
      <c r="I13" s="122">
        <v>-0.15856846882211187</v>
      </c>
      <c r="J13" s="122">
        <v>-0.68049902871925183</v>
      </c>
      <c r="K13" s="122">
        <v>6.0190455242878256E-2</v>
      </c>
      <c r="L13" s="122">
        <v>-0.43973213930229094</v>
      </c>
      <c r="M13" s="122"/>
    </row>
    <row r="14" spans="1:13" ht="15" customHeight="1">
      <c r="A14" s="123" t="s">
        <v>21</v>
      </c>
      <c r="C14" s="122">
        <v>2.06842481321125E-2</v>
      </c>
      <c r="D14" s="122">
        <v>-1.4850330776814399E-2</v>
      </c>
      <c r="E14" s="122">
        <v>1.3141716117026969E-2</v>
      </c>
      <c r="F14" s="122">
        <v>5.3413899100402222E-3</v>
      </c>
      <c r="G14" s="122">
        <v>2.7205746669069719E-2</v>
      </c>
      <c r="H14" s="122">
        <v>5.0406879244873623E-2</v>
      </c>
      <c r="I14" s="122">
        <v>-6.4019402248087637E-2</v>
      </c>
      <c r="J14" s="122">
        <v>4.5374988108459233E-2</v>
      </c>
      <c r="K14" s="122">
        <v>-2.2304731308880523E-2</v>
      </c>
      <c r="L14" s="122">
        <v>-6.676090209142975E-2</v>
      </c>
      <c r="M14" s="122"/>
    </row>
    <row r="15" spans="1:13" ht="15" customHeight="1">
      <c r="A15" s="123" t="s">
        <v>22</v>
      </c>
      <c r="C15" s="122">
        <v>7.2541736691823816E-2</v>
      </c>
      <c r="D15" s="122">
        <v>9.849415370801121E-3</v>
      </c>
      <c r="E15" s="122">
        <v>4.902801572547754E-2</v>
      </c>
      <c r="F15" s="122">
        <v>-4.578397585179951E-3</v>
      </c>
      <c r="G15" s="122">
        <v>0.11110209384533828</v>
      </c>
      <c r="H15" s="122">
        <v>9.1145405124214054E-2</v>
      </c>
      <c r="I15" s="122">
        <v>5.0524423336852364E-2</v>
      </c>
      <c r="J15" s="122">
        <v>1.9886970348448489E-2</v>
      </c>
      <c r="K15" s="122">
        <v>0.10391625870132588</v>
      </c>
      <c r="L15" s="122">
        <v>0.1187245344897353</v>
      </c>
      <c r="M15" s="122"/>
    </row>
    <row r="16" spans="1:13" ht="15" customHeight="1">
      <c r="A16" s="123" t="s">
        <v>23</v>
      </c>
      <c r="C16" s="122">
        <v>-2.6903037059312757E-2</v>
      </c>
      <c r="D16" s="122">
        <v>2.0952600828537397E-2</v>
      </c>
      <c r="E16" s="122">
        <v>6.2100609726487718E-2</v>
      </c>
      <c r="F16" s="122">
        <v>7.7413260571262452E-2</v>
      </c>
      <c r="G16" s="122">
        <v>0.10765875442146373</v>
      </c>
      <c r="H16" s="122">
        <v>0.10755777573244592</v>
      </c>
      <c r="I16" s="122">
        <v>0.11109335286553755</v>
      </c>
      <c r="J16" s="122">
        <v>0.10972339748045616</v>
      </c>
      <c r="K16" s="122">
        <v>4.2088842076010102E-2</v>
      </c>
      <c r="L16" s="122">
        <v>1.0559456692597573E-2</v>
      </c>
      <c r="M16" s="122"/>
    </row>
    <row r="17" spans="1:13" ht="15" customHeight="1">
      <c r="A17" s="123" t="s">
        <v>24</v>
      </c>
      <c r="C17" s="122">
        <v>3.986358151264828E-2</v>
      </c>
      <c r="D17" s="122">
        <v>0.12973675414835911</v>
      </c>
      <c r="E17" s="122">
        <v>0.17600658805710817</v>
      </c>
      <c r="F17" s="122">
        <v>2.529085893594149E-2</v>
      </c>
      <c r="G17" s="122">
        <v>0.13081502980069998</v>
      </c>
      <c r="H17" s="122">
        <v>0.12709570502423245</v>
      </c>
      <c r="I17" s="122">
        <v>9.3393823707094051E-2</v>
      </c>
      <c r="J17" s="122">
        <v>8.2460975966894876E-2</v>
      </c>
      <c r="K17" s="122">
        <v>9.9611991985073353E-2</v>
      </c>
      <c r="L17" s="122">
        <v>0.10098609065455616</v>
      </c>
      <c r="M17" s="122"/>
    </row>
    <row r="18" spans="1:13" ht="15" customHeight="1">
      <c r="A18" s="123" t="s">
        <v>25</v>
      </c>
      <c r="C18" s="122">
        <v>8.978955456842852E-2</v>
      </c>
      <c r="D18" s="122">
        <v>0.11648238239170568</v>
      </c>
      <c r="E18" s="122">
        <v>0.16550183861651621</v>
      </c>
      <c r="F18" s="122">
        <v>0.13211233522084007</v>
      </c>
      <c r="G18" s="122">
        <v>0.14139743761953125</v>
      </c>
      <c r="H18" s="122">
        <v>0.19478233872782102</v>
      </c>
      <c r="I18" s="122">
        <v>0.19923523907413901</v>
      </c>
      <c r="J18" s="122">
        <v>8.6439764173479428E-2</v>
      </c>
      <c r="K18" s="122">
        <v>3.9922473956921237E-2</v>
      </c>
      <c r="L18" s="122">
        <v>-5.1070964336449233E-2</v>
      </c>
      <c r="M18" s="122"/>
    </row>
    <row r="19" spans="1:13" ht="15" customHeight="1">
      <c r="A19" s="123" t="s">
        <v>26</v>
      </c>
      <c r="C19" s="122">
        <v>2.7023144350209701E-3</v>
      </c>
      <c r="D19" s="122">
        <v>7.8745073417389122E-2</v>
      </c>
      <c r="E19" s="122">
        <v>8.3697647004044126E-2</v>
      </c>
      <c r="F19" s="122">
        <v>5.7618687158806713E-2</v>
      </c>
      <c r="G19" s="122">
        <v>0.13562469339192962</v>
      </c>
      <c r="H19" s="122">
        <v>0.22834882311019927</v>
      </c>
      <c r="I19" s="122">
        <v>6.7141717499501707E-2</v>
      </c>
      <c r="J19" s="122">
        <v>0.168425827481617</v>
      </c>
      <c r="K19" s="122">
        <v>3.6277000601284803E-2</v>
      </c>
      <c r="L19" s="122">
        <v>0.10087188920527589</v>
      </c>
      <c r="M19" s="122"/>
    </row>
    <row r="20" spans="1:13" ht="15" customHeight="1">
      <c r="A20" s="123" t="s">
        <v>27</v>
      </c>
      <c r="C20" s="122">
        <v>0.11202669887539753</v>
      </c>
      <c r="D20" s="122">
        <v>9.9528181694152701E-2</v>
      </c>
      <c r="E20" s="122">
        <v>7.6264915401041938E-2</v>
      </c>
      <c r="F20" s="122">
        <v>5.2605068973870239E-2</v>
      </c>
      <c r="G20" s="122">
        <v>0.12349705363852097</v>
      </c>
      <c r="H20" s="122">
        <v>0.22304297076110835</v>
      </c>
      <c r="I20" s="122">
        <v>8.8995081398549211E-2</v>
      </c>
      <c r="J20" s="122">
        <v>2.9559002854153259E-3</v>
      </c>
      <c r="K20" s="122">
        <v>5.2313615553234839E-4</v>
      </c>
      <c r="L20" s="122">
        <v>-9.1529083381819448E-2</v>
      </c>
      <c r="M20" s="122"/>
    </row>
    <row r="21" spans="1:13" ht="15" customHeight="1">
      <c r="A21" s="123" t="s">
        <v>28</v>
      </c>
      <c r="C21" s="122">
        <v>0.26085075585664064</v>
      </c>
      <c r="D21" s="122">
        <v>0.13293138934652837</v>
      </c>
      <c r="E21" s="122">
        <v>0.20118431144061499</v>
      </c>
      <c r="F21" s="122">
        <v>0.26059878311718265</v>
      </c>
      <c r="G21" s="122">
        <v>0.25505324054084882</v>
      </c>
      <c r="H21" s="122">
        <v>0.25554249742925872</v>
      </c>
      <c r="I21" s="122">
        <v>0.26743481800105323</v>
      </c>
      <c r="J21" s="122">
        <v>0.22544126720772151</v>
      </c>
      <c r="K21" s="122">
        <v>0.19803308379226464</v>
      </c>
      <c r="L21" s="122">
        <v>0.23926918898992092</v>
      </c>
      <c r="M21" s="122"/>
    </row>
    <row r="22" spans="1:13" ht="15" customHeight="1">
      <c r="A22" s="123" t="s">
        <v>29</v>
      </c>
      <c r="C22" s="122">
        <v>0.13332946970552265</v>
      </c>
      <c r="D22" s="122">
        <v>0.10477477859939456</v>
      </c>
      <c r="E22" s="122">
        <v>0.14406695116981785</v>
      </c>
      <c r="F22" s="122">
        <v>0.15317875070352077</v>
      </c>
      <c r="G22" s="122">
        <v>0.17385152035294427</v>
      </c>
      <c r="H22" s="122">
        <v>0.19713069739293071</v>
      </c>
      <c r="I22" s="122">
        <v>0.17869427119763995</v>
      </c>
      <c r="J22" s="122">
        <v>0.19318232014200179</v>
      </c>
      <c r="K22" s="122">
        <v>0.12081014668372492</v>
      </c>
      <c r="L22" s="122">
        <v>0.13927931296306728</v>
      </c>
      <c r="M22" s="122"/>
    </row>
    <row r="23" spans="1:13" ht="15" customHeight="1">
      <c r="A23" s="123" t="s">
        <v>30</v>
      </c>
      <c r="C23" s="122">
        <v>2.4979706384365485E-2</v>
      </c>
      <c r="D23" s="122">
        <v>2.761348331609004E-3</v>
      </c>
      <c r="E23" s="122">
        <v>6.7765618162245828E-2</v>
      </c>
      <c r="F23" s="122">
        <v>5.970641433624542E-2</v>
      </c>
      <c r="G23" s="122">
        <v>0.14487906643747489</v>
      </c>
      <c r="H23" s="122">
        <v>0.13066339530537527</v>
      </c>
      <c r="I23" s="122">
        <v>6.498356422132083E-2</v>
      </c>
      <c r="J23" s="122">
        <v>4.3543661487459633E-2</v>
      </c>
      <c r="K23" s="122">
        <v>-2.6591071276916775E-2</v>
      </c>
      <c r="L23" s="122">
        <v>9.476410377573756E-2</v>
      </c>
      <c r="M23" s="122"/>
    </row>
    <row r="24" spans="1:13" ht="15" customHeight="1">
      <c r="A24" s="123" t="s">
        <v>31</v>
      </c>
      <c r="C24" s="122">
        <v>0.10711644108292515</v>
      </c>
      <c r="D24" s="122">
        <v>2.5620669772485023E-2</v>
      </c>
      <c r="E24" s="122">
        <v>1.8457337345767651E-2</v>
      </c>
      <c r="F24" s="122">
        <v>9.6992960882325993E-2</v>
      </c>
      <c r="G24" s="122">
        <v>0.20483213564148187</v>
      </c>
      <c r="H24" s="122">
        <v>0.19652684195316827</v>
      </c>
      <c r="I24" s="122">
        <v>0.10899380294559825</v>
      </c>
      <c r="J24" s="122">
        <v>0.20126485326186905</v>
      </c>
      <c r="K24" s="122">
        <v>0.16940603190944728</v>
      </c>
      <c r="L24" s="122">
        <v>0.15862321562926252</v>
      </c>
      <c r="M24" s="122"/>
    </row>
    <row r="25" spans="1:13" ht="15" customHeight="1">
      <c r="A25" s="123" t="s">
        <v>34</v>
      </c>
      <c r="C25" s="122">
        <v>0.12584612329545644</v>
      </c>
      <c r="D25" s="122">
        <v>0.16039303557767681</v>
      </c>
      <c r="E25" s="122">
        <v>0.139277236017637</v>
      </c>
      <c r="F25" s="122">
        <v>0.13646386354646642</v>
      </c>
      <c r="G25" s="122">
        <v>0.25225512879888612</v>
      </c>
      <c r="H25" s="122">
        <v>0.22021103225355335</v>
      </c>
      <c r="I25" s="122">
        <v>0.11278143251588452</v>
      </c>
      <c r="J25" s="122">
        <v>0.1754645868105256</v>
      </c>
      <c r="K25" s="122">
        <v>0.23413459205049519</v>
      </c>
      <c r="L25" s="122">
        <v>8.6442574997794022E-2</v>
      </c>
      <c r="M25" s="122"/>
    </row>
    <row r="26" spans="1:13" ht="15" customHeight="1">
      <c r="A26" s="123" t="s">
        <v>35</v>
      </c>
      <c r="C26" s="122">
        <v>0.24614291687373827</v>
      </c>
      <c r="D26" s="122">
        <v>0.19524547224158134</v>
      </c>
      <c r="E26" s="122">
        <v>0.27710441430127725</v>
      </c>
      <c r="F26" s="122">
        <v>0.18736798983241154</v>
      </c>
      <c r="G26" s="122">
        <v>0.22332829158476752</v>
      </c>
      <c r="H26" s="122">
        <v>0.30113674978934113</v>
      </c>
      <c r="I26" s="122">
        <v>0.21193111470752229</v>
      </c>
      <c r="J26" s="122">
        <v>0.18682055497660879</v>
      </c>
      <c r="K26" s="122">
        <v>0.34268894807816913</v>
      </c>
      <c r="L26" s="122">
        <v>0.25244973723369607</v>
      </c>
      <c r="M26" s="122"/>
    </row>
    <row r="27" spans="1:13" ht="15" customHeight="1">
      <c r="A27" s="123" t="s">
        <v>36</v>
      </c>
      <c r="C27" s="122">
        <v>0.11710164873905024</v>
      </c>
      <c r="D27" s="122">
        <v>0.13478278215001654</v>
      </c>
      <c r="E27" s="122">
        <v>0.10741803960178806</v>
      </c>
      <c r="F27" s="122">
        <v>0.10718326309778077</v>
      </c>
      <c r="G27" s="122">
        <v>0.23216737793540895</v>
      </c>
      <c r="H27" s="122">
        <v>0.22723670273187116</v>
      </c>
      <c r="I27" s="122">
        <v>0.21389115799862393</v>
      </c>
      <c r="J27" s="122">
        <v>0.18027086749564417</v>
      </c>
      <c r="K27" s="122">
        <v>0.17016420948043048</v>
      </c>
      <c r="L27" s="122">
        <v>0.19424120092429217</v>
      </c>
      <c r="M27" s="122"/>
    </row>
    <row r="28" spans="1:13" ht="15" customHeight="1">
      <c r="A28" s="123" t="s">
        <v>37</v>
      </c>
      <c r="C28" s="122">
        <v>0.11115915109167451</v>
      </c>
      <c r="D28" s="122">
        <v>0.17507301295777278</v>
      </c>
      <c r="E28" s="122">
        <v>0.1942816592852418</v>
      </c>
      <c r="F28" s="122">
        <v>0.27551728995540803</v>
      </c>
      <c r="G28" s="122">
        <v>0.29788534715490006</v>
      </c>
      <c r="H28" s="122">
        <v>0.24454496776064791</v>
      </c>
      <c r="I28" s="122">
        <v>0.21573390674328868</v>
      </c>
      <c r="J28" s="122">
        <v>0.23447378954650971</v>
      </c>
      <c r="K28" s="122">
        <v>0.16917556650797538</v>
      </c>
      <c r="L28" s="122">
        <v>0.35597273564981957</v>
      </c>
      <c r="M28" s="122"/>
    </row>
    <row r="29" spans="1:13" ht="15" customHeight="1">
      <c r="A29" s="123" t="s">
        <v>38</v>
      </c>
      <c r="C29" s="122">
        <v>0.15517141916864685</v>
      </c>
      <c r="D29" s="122">
        <v>5.7127880463471357E-2</v>
      </c>
      <c r="E29" s="122">
        <v>0.12468230803296995</v>
      </c>
      <c r="F29" s="122">
        <v>7.7649471729098835E-2</v>
      </c>
      <c r="G29" s="122">
        <v>9.6102981356085249E-2</v>
      </c>
      <c r="H29" s="122">
        <v>7.6266110557235506E-2</v>
      </c>
      <c r="I29" s="122">
        <v>-1.0300406856606801E-2</v>
      </c>
      <c r="J29" s="122">
        <v>8.7455228591073061E-2</v>
      </c>
      <c r="K29" s="122">
        <v>1.7001817780349017E-2</v>
      </c>
      <c r="L29" s="122">
        <v>-2.0641985094701686E-2</v>
      </c>
      <c r="M29" s="122"/>
    </row>
    <row r="30" spans="1:13" ht="15" customHeight="1">
      <c r="A30" s="123" t="s">
        <v>39</v>
      </c>
      <c r="C30" s="122">
        <v>0.166761643813122</v>
      </c>
      <c r="D30" s="122">
        <v>0.1104106453476762</v>
      </c>
      <c r="E30" s="122">
        <v>7.8213466394789544E-2</v>
      </c>
      <c r="F30" s="122">
        <v>0.12802907377263809</v>
      </c>
      <c r="G30" s="122">
        <v>0.13989708311326349</v>
      </c>
      <c r="H30" s="122">
        <v>9.4075327528486644E-2</v>
      </c>
      <c r="I30" s="122">
        <v>9.5708708709242252E-2</v>
      </c>
      <c r="J30" s="122">
        <v>0.10151147812200359</v>
      </c>
      <c r="K30" s="122">
        <v>0.10356947951760999</v>
      </c>
      <c r="L30" s="122">
        <v>-5.7995121304876558E-2</v>
      </c>
      <c r="M30" s="122"/>
    </row>
    <row r="31" spans="1:13" ht="15" customHeight="1">
      <c r="A31" s="123" t="s">
        <v>32</v>
      </c>
      <c r="C31" s="122">
        <v>0.16127675044041154</v>
      </c>
      <c r="D31" s="122">
        <v>0.1331264566238313</v>
      </c>
      <c r="E31" s="122">
        <v>0.11575688597330955</v>
      </c>
      <c r="F31" s="122">
        <v>0.13143939550478836</v>
      </c>
      <c r="G31" s="122">
        <v>4.8796785369387419E-2</v>
      </c>
      <c r="H31" s="122">
        <v>0.14735077191990625</v>
      </c>
      <c r="I31" s="122">
        <v>-3.7074957699062369E-2</v>
      </c>
      <c r="J31" s="122">
        <v>6.4922809541515331E-2</v>
      </c>
      <c r="K31" s="122">
        <v>3.1351453417528839E-2</v>
      </c>
      <c r="L31" s="122">
        <v>8.9246530492550699E-2</v>
      </c>
      <c r="M31" s="122"/>
    </row>
    <row r="32" spans="1:13" ht="15" customHeight="1" thickBot="1">
      <c r="A32" s="124" t="s">
        <v>33</v>
      </c>
      <c r="B32" s="125"/>
      <c r="C32" s="126">
        <v>0.16818657100360032</v>
      </c>
      <c r="D32" s="126">
        <v>7.5495573276627287E-2</v>
      </c>
      <c r="E32" s="126">
        <v>0.12414012908023692</v>
      </c>
      <c r="F32" s="126">
        <v>0.13294286417433532</v>
      </c>
      <c r="G32" s="126">
        <v>0.14656218987705638</v>
      </c>
      <c r="H32" s="126">
        <v>8.2878189071681083E-2</v>
      </c>
      <c r="I32" s="126">
        <v>0.10354395157484496</v>
      </c>
      <c r="J32" s="126">
        <v>5.0294156926676062E-2</v>
      </c>
      <c r="K32" s="126">
        <v>6.0316586247525728E-2</v>
      </c>
      <c r="L32" s="126">
        <v>1.2085275447807268E-2</v>
      </c>
      <c r="M32" s="126"/>
    </row>
    <row r="33" spans="1:13" ht="15" customHeight="1">
      <c r="A33" s="42"/>
      <c r="M33" s="117"/>
    </row>
  </sheetData>
  <mergeCells count="1">
    <mergeCell ref="K1:M1"/>
  </mergeCells>
  <hyperlinks>
    <hyperlink ref="K1:M1" location="Home_page" display="Back to_x000a_home page" xr:uid="{E0979C4D-CC79-4551-BE25-60A7E3BEBFD4}"/>
  </hyperlinks>
  <pageMargins left="0.70866141732283472" right="0.70866141732283472" top="0.74803149606299213" bottom="0.74803149606299213" header="0.31496062992125984" footer="0.31496062992125984"/>
  <pageSetup paperSize="9" orientation="landscape"/>
  <extLst>
    <ext xmlns:x14="http://schemas.microsoft.com/office/spreadsheetml/2009/9/main" uri="{05C60535-1F16-4fd2-B633-F4F36F0B64E0}">
      <x14:sparklineGroups xmlns:xm="http://schemas.microsoft.com/office/excel/2006/main">
        <x14:sparklineGroup manualMax="0" manualMin="0" displayEmptyCellsAs="gap" high="1" low="1" xr2:uid="{2258AC15-B4A9-4FF4-9751-1CBA013A00CC}">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'Net profit margin'!C3:M3</xm:f>
              <xm:sqref>B3</xm:sqref>
            </x14:sparkline>
            <x14:sparkline>
              <xm:f>'Net profit margin'!C4:M4</xm:f>
              <xm:sqref>B4</xm:sqref>
            </x14:sparkline>
            <x14:sparkline>
              <xm:f>'Net profit margin'!C5:M5</xm:f>
              <xm:sqref>B5</xm:sqref>
            </x14:sparkline>
            <x14:sparkline>
              <xm:f>'Net profit margin'!C6:M6</xm:f>
              <xm:sqref>B6</xm:sqref>
            </x14:sparkline>
            <x14:sparkline>
              <xm:f>'Net profit margin'!C7:M7</xm:f>
              <xm:sqref>B7</xm:sqref>
            </x14:sparkline>
            <x14:sparkline>
              <xm:f>'Net profit margin'!C8:M8</xm:f>
              <xm:sqref>B8</xm:sqref>
            </x14:sparkline>
            <x14:sparkline>
              <xm:f>'Net profit margin'!C9:M9</xm:f>
              <xm:sqref>B9</xm:sqref>
            </x14:sparkline>
            <x14:sparkline>
              <xm:f>'Net profit margin'!C10:M10</xm:f>
              <xm:sqref>B10</xm:sqref>
            </x14:sparkline>
            <x14:sparkline>
              <xm:f>'Net profit margin'!C11:M11</xm:f>
              <xm:sqref>B11</xm:sqref>
            </x14:sparkline>
            <x14:sparkline>
              <xm:f>'Net profit margin'!C12:M12</xm:f>
              <xm:sqref>B12</xm:sqref>
            </x14:sparkline>
            <x14:sparkline>
              <xm:f>'Net profit margin'!C13:M13</xm:f>
              <xm:sqref>B13</xm:sqref>
            </x14:sparkline>
            <x14:sparkline>
              <xm:f>'Net profit margin'!C14:M14</xm:f>
              <xm:sqref>B14</xm:sqref>
            </x14:sparkline>
            <x14:sparkline>
              <xm:f>'Net profit margin'!C15:M15</xm:f>
              <xm:sqref>B15</xm:sqref>
            </x14:sparkline>
            <x14:sparkline>
              <xm:f>'Net profit margin'!C16:M16</xm:f>
              <xm:sqref>B16</xm:sqref>
            </x14:sparkline>
            <x14:sparkline>
              <xm:f>'Net profit margin'!C17:M17</xm:f>
              <xm:sqref>B17</xm:sqref>
            </x14:sparkline>
            <x14:sparkline>
              <xm:f>'Net profit margin'!C18:M18</xm:f>
              <xm:sqref>B18</xm:sqref>
            </x14:sparkline>
            <x14:sparkline>
              <xm:f>'Net profit margin'!C19:M19</xm:f>
              <xm:sqref>B19</xm:sqref>
            </x14:sparkline>
            <x14:sparkline>
              <xm:f>'Net profit margin'!C20:M20</xm:f>
              <xm:sqref>B20</xm:sqref>
            </x14:sparkline>
            <x14:sparkline>
              <xm:f>'Net profit margin'!C21:M21</xm:f>
              <xm:sqref>B21</xm:sqref>
            </x14:sparkline>
            <x14:sparkline>
              <xm:f>'Net profit margin'!C22:M22</xm:f>
              <xm:sqref>B22</xm:sqref>
            </x14:sparkline>
            <x14:sparkline>
              <xm:f>'Net profit margin'!C23:M23</xm:f>
              <xm:sqref>B23</xm:sqref>
            </x14:sparkline>
            <x14:sparkline>
              <xm:f>'Net profit margin'!C24:M24</xm:f>
              <xm:sqref>B24</xm:sqref>
            </x14:sparkline>
            <x14:sparkline>
              <xm:f>'Net profit margin'!C25:M25</xm:f>
              <xm:sqref>B25</xm:sqref>
            </x14:sparkline>
            <x14:sparkline>
              <xm:f>'Net profit margin'!C26:M26</xm:f>
              <xm:sqref>B26</xm:sqref>
            </x14:sparkline>
            <x14:sparkline>
              <xm:f>'Net profit margin'!C27:M27</xm:f>
              <xm:sqref>B27</xm:sqref>
            </x14:sparkline>
            <x14:sparkline>
              <xm:f>'Net profit margin'!C28:M28</xm:f>
              <xm:sqref>B28</xm:sqref>
            </x14:sparkline>
            <x14:sparkline>
              <xm:f>'Net profit margin'!C29:M29</xm:f>
              <xm:sqref>B29</xm:sqref>
            </x14:sparkline>
            <x14:sparkline>
              <xm:f>'Net profit margin'!C30:M30</xm:f>
              <xm:sqref>B30</xm:sqref>
            </x14:sparkline>
            <x14:sparkline>
              <xm:f>'Net profit margin'!C31:M31</xm:f>
              <xm:sqref>B31</xm:sqref>
            </x14:sparkline>
            <x14:sparkline>
              <xm:f>'Net profit margin'!C32:M32</xm:f>
              <xm:sqref>B32</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87840-45C0-487D-B1C4-716B6D9BE98F}">
  <sheetPr codeName="Feuil42">
    <pageSetUpPr fitToPage="1"/>
  </sheetPr>
  <dimension ref="A1:I34"/>
  <sheetViews>
    <sheetView workbookViewId="0"/>
  </sheetViews>
  <sheetFormatPr defaultColWidth="8.625" defaultRowHeight="12.95"/>
  <cols>
    <col min="1" max="1" width="4.625" style="136" customWidth="1"/>
    <col min="2" max="2" width="46.125" style="136" customWidth="1"/>
    <col min="3" max="3" width="9.125" style="156" customWidth="1"/>
    <col min="4" max="4" width="20.625" style="156" customWidth="1"/>
    <col min="5" max="5" width="12.625" style="156" customWidth="1"/>
    <col min="6" max="7" width="9.625" style="156" customWidth="1"/>
    <col min="8" max="8" width="9.625" style="157" customWidth="1"/>
    <col min="9" max="9" width="9.625" style="156" customWidth="1"/>
    <col min="10" max="11" width="8.625" style="136"/>
    <col min="12" max="12" width="55.625" style="136" bestFit="1" customWidth="1"/>
    <col min="13" max="16384" width="8.625" style="136"/>
  </cols>
  <sheetData>
    <row r="1" spans="1:9" ht="28.5" customHeight="1" thickBot="1">
      <c r="A1" s="135"/>
      <c r="B1" s="175" t="s">
        <v>75</v>
      </c>
      <c r="C1" s="175"/>
      <c r="D1" s="175"/>
      <c r="E1" s="175"/>
      <c r="F1" s="175"/>
      <c r="G1" s="175"/>
      <c r="H1" s="175"/>
      <c r="I1" s="158" t="s">
        <v>41</v>
      </c>
    </row>
    <row r="2" spans="1:9" ht="26.45" thickBot="1">
      <c r="A2" s="176" t="s">
        <v>76</v>
      </c>
      <c r="B2" s="177"/>
      <c r="C2" s="137" t="s">
        <v>77</v>
      </c>
      <c r="D2" s="137" t="s">
        <v>78</v>
      </c>
      <c r="E2" s="137" t="s">
        <v>79</v>
      </c>
      <c r="F2" s="137" t="s">
        <v>80</v>
      </c>
      <c r="G2" s="137" t="s">
        <v>81</v>
      </c>
      <c r="H2" s="137" t="s">
        <v>82</v>
      </c>
      <c r="I2" s="138" t="s">
        <v>83</v>
      </c>
    </row>
    <row r="3" spans="1:9">
      <c r="A3" s="139">
        <v>1</v>
      </c>
      <c r="B3" s="140" t="s">
        <v>84</v>
      </c>
      <c r="C3" s="141" t="s">
        <v>85</v>
      </c>
      <c r="D3" s="141" t="s">
        <v>86</v>
      </c>
      <c r="E3" s="142"/>
      <c r="F3" s="142"/>
      <c r="G3" s="142"/>
      <c r="H3" s="141" t="s">
        <v>87</v>
      </c>
      <c r="I3" s="143"/>
    </row>
    <row r="4" spans="1:9">
      <c r="A4" s="139">
        <v>2</v>
      </c>
      <c r="B4" s="144" t="s">
        <v>11</v>
      </c>
      <c r="C4" s="145" t="s">
        <v>85</v>
      </c>
      <c r="D4" s="145" t="s">
        <v>86</v>
      </c>
      <c r="E4" s="146" t="s">
        <v>88</v>
      </c>
      <c r="F4" s="146"/>
      <c r="G4" s="146" t="s">
        <v>89</v>
      </c>
      <c r="H4" s="145" t="s">
        <v>87</v>
      </c>
      <c r="I4" s="147"/>
    </row>
    <row r="5" spans="1:9">
      <c r="A5" s="139">
        <v>3</v>
      </c>
      <c r="B5" s="144" t="s">
        <v>12</v>
      </c>
      <c r="C5" s="145" t="s">
        <v>85</v>
      </c>
      <c r="D5" s="145" t="s">
        <v>86</v>
      </c>
      <c r="E5" s="146" t="s">
        <v>88</v>
      </c>
      <c r="F5" s="146"/>
      <c r="G5" s="146" t="s">
        <v>90</v>
      </c>
      <c r="H5" s="145" t="s">
        <v>87</v>
      </c>
      <c r="I5" s="147"/>
    </row>
    <row r="6" spans="1:9" ht="26.1">
      <c r="A6" s="139">
        <v>4</v>
      </c>
      <c r="B6" s="144" t="s">
        <v>91</v>
      </c>
      <c r="C6" s="145" t="s">
        <v>92</v>
      </c>
      <c r="D6" s="145" t="s">
        <v>86</v>
      </c>
      <c r="E6" s="146" t="s">
        <v>93</v>
      </c>
      <c r="F6" s="146"/>
      <c r="G6" s="146"/>
      <c r="H6" s="145" t="s">
        <v>94</v>
      </c>
      <c r="I6" s="147"/>
    </row>
    <row r="7" spans="1:9" ht="26.1">
      <c r="A7" s="139">
        <v>5</v>
      </c>
      <c r="B7" s="144" t="s">
        <v>95</v>
      </c>
      <c r="C7" s="145" t="s">
        <v>92</v>
      </c>
      <c r="D7" s="145" t="s">
        <v>86</v>
      </c>
      <c r="E7" s="146" t="s">
        <v>93</v>
      </c>
      <c r="F7" s="146"/>
      <c r="G7" s="146"/>
      <c r="H7" s="145" t="s">
        <v>96</v>
      </c>
      <c r="I7" s="147"/>
    </row>
    <row r="8" spans="1:9">
      <c r="A8" s="139">
        <v>6</v>
      </c>
      <c r="B8" s="144" t="s">
        <v>97</v>
      </c>
      <c r="C8" s="145"/>
      <c r="D8" s="145" t="s">
        <v>98</v>
      </c>
      <c r="E8" s="146" t="s">
        <v>93</v>
      </c>
      <c r="F8" s="146"/>
      <c r="G8" s="146"/>
      <c r="H8" s="145" t="s">
        <v>87</v>
      </c>
      <c r="I8" s="147"/>
    </row>
    <row r="9" spans="1:9">
      <c r="A9" s="139">
        <v>7</v>
      </c>
      <c r="B9" s="144" t="s">
        <v>99</v>
      </c>
      <c r="C9" s="145"/>
      <c r="D9" s="145" t="s">
        <v>100</v>
      </c>
      <c r="E9" s="146" t="s">
        <v>93</v>
      </c>
      <c r="F9" s="146"/>
      <c r="G9" s="146"/>
      <c r="H9" s="145" t="s">
        <v>87</v>
      </c>
      <c r="I9" s="147"/>
    </row>
    <row r="10" spans="1:9">
      <c r="A10" s="139">
        <v>8</v>
      </c>
      <c r="B10" s="144" t="s">
        <v>101</v>
      </c>
      <c r="C10" s="145"/>
      <c r="D10" s="145"/>
      <c r="E10" s="146"/>
      <c r="F10" s="146"/>
      <c r="G10" s="146"/>
      <c r="H10" s="145" t="s">
        <v>87</v>
      </c>
      <c r="I10" s="147" t="s">
        <v>102</v>
      </c>
    </row>
    <row r="11" spans="1:9">
      <c r="A11" s="139">
        <v>9</v>
      </c>
      <c r="B11" s="144" t="s">
        <v>103</v>
      </c>
      <c r="C11" s="145"/>
      <c r="D11" s="145"/>
      <c r="E11" s="146"/>
      <c r="F11" s="146"/>
      <c r="G11" s="146"/>
      <c r="H11" s="145" t="s">
        <v>104</v>
      </c>
      <c r="I11" s="147" t="s">
        <v>102</v>
      </c>
    </row>
    <row r="12" spans="1:9">
      <c r="A12" s="139">
        <v>10</v>
      </c>
      <c r="B12" s="144" t="s">
        <v>105</v>
      </c>
      <c r="C12" s="145"/>
      <c r="D12" s="145"/>
      <c r="E12" s="146"/>
      <c r="F12" s="146"/>
      <c r="G12" s="146"/>
      <c r="H12" s="145" t="s">
        <v>87</v>
      </c>
      <c r="I12" s="147"/>
    </row>
    <row r="13" spans="1:9">
      <c r="A13" s="139">
        <v>11</v>
      </c>
      <c r="B13" s="144" t="s">
        <v>19</v>
      </c>
      <c r="C13" s="145" t="s">
        <v>106</v>
      </c>
      <c r="D13" s="145" t="s">
        <v>107</v>
      </c>
      <c r="E13" s="146" t="s">
        <v>93</v>
      </c>
      <c r="F13" s="146"/>
      <c r="G13" s="146" t="s">
        <v>108</v>
      </c>
      <c r="H13" s="145" t="s">
        <v>87</v>
      </c>
      <c r="I13" s="147"/>
    </row>
    <row r="14" spans="1:9">
      <c r="A14" s="139">
        <v>12</v>
      </c>
      <c r="B14" s="144" t="s">
        <v>20</v>
      </c>
      <c r="C14" s="145" t="s">
        <v>106</v>
      </c>
      <c r="D14" s="145" t="s">
        <v>107</v>
      </c>
      <c r="E14" s="146" t="s">
        <v>93</v>
      </c>
      <c r="F14" s="146"/>
      <c r="G14" s="146" t="s">
        <v>109</v>
      </c>
      <c r="H14" s="145" t="s">
        <v>87</v>
      </c>
      <c r="I14" s="147"/>
    </row>
    <row r="15" spans="1:9">
      <c r="A15" s="139">
        <v>13</v>
      </c>
      <c r="B15" s="144" t="s">
        <v>110</v>
      </c>
      <c r="C15" s="145" t="s">
        <v>106</v>
      </c>
      <c r="D15" s="145" t="s">
        <v>86</v>
      </c>
      <c r="E15" s="146" t="s">
        <v>88</v>
      </c>
      <c r="F15" s="146"/>
      <c r="G15" s="146" t="s">
        <v>108</v>
      </c>
      <c r="H15" s="145" t="s">
        <v>87</v>
      </c>
      <c r="I15" s="147"/>
    </row>
    <row r="16" spans="1:9">
      <c r="A16" s="139">
        <v>14</v>
      </c>
      <c r="B16" s="144" t="s">
        <v>111</v>
      </c>
      <c r="C16" s="145" t="s">
        <v>106</v>
      </c>
      <c r="D16" s="145" t="s">
        <v>86</v>
      </c>
      <c r="E16" s="146" t="s">
        <v>88</v>
      </c>
      <c r="F16" s="146"/>
      <c r="G16" s="146" t="s">
        <v>109</v>
      </c>
      <c r="H16" s="145" t="s">
        <v>87</v>
      </c>
      <c r="I16" s="147"/>
    </row>
    <row r="17" spans="1:9">
      <c r="A17" s="139">
        <v>15</v>
      </c>
      <c r="B17" s="144" t="s">
        <v>112</v>
      </c>
      <c r="C17" s="145" t="s">
        <v>113</v>
      </c>
      <c r="D17" s="145"/>
      <c r="E17" s="146" t="s">
        <v>93</v>
      </c>
      <c r="F17" s="146"/>
      <c r="G17" s="146"/>
      <c r="H17" s="145" t="s">
        <v>114</v>
      </c>
      <c r="I17" s="147"/>
    </row>
    <row r="18" spans="1:9" ht="26.1">
      <c r="A18" s="139">
        <v>16</v>
      </c>
      <c r="B18" s="144" t="s">
        <v>115</v>
      </c>
      <c r="C18" s="145" t="s">
        <v>113</v>
      </c>
      <c r="D18" s="145" t="s">
        <v>86</v>
      </c>
      <c r="E18" s="146" t="s">
        <v>93</v>
      </c>
      <c r="F18" s="145" t="s">
        <v>116</v>
      </c>
      <c r="G18" s="146"/>
      <c r="H18" s="145" t="s">
        <v>87</v>
      </c>
      <c r="I18" s="147"/>
    </row>
    <row r="19" spans="1:9" ht="26.1">
      <c r="A19" s="139">
        <v>17</v>
      </c>
      <c r="B19" s="144" t="s">
        <v>117</v>
      </c>
      <c r="C19" s="145" t="s">
        <v>113</v>
      </c>
      <c r="D19" s="145" t="s">
        <v>86</v>
      </c>
      <c r="E19" s="146" t="s">
        <v>93</v>
      </c>
      <c r="F19" s="145" t="s">
        <v>118</v>
      </c>
      <c r="G19" s="146"/>
      <c r="H19" s="145" t="s">
        <v>87</v>
      </c>
      <c r="I19" s="147"/>
    </row>
    <row r="20" spans="1:9" ht="26.1">
      <c r="A20" s="139">
        <v>18</v>
      </c>
      <c r="B20" s="144" t="s">
        <v>119</v>
      </c>
      <c r="C20" s="145" t="s">
        <v>113</v>
      </c>
      <c r="D20" s="145" t="s">
        <v>86</v>
      </c>
      <c r="E20" s="146" t="s">
        <v>93</v>
      </c>
      <c r="F20" s="146"/>
      <c r="G20" s="146" t="s">
        <v>108</v>
      </c>
      <c r="H20" s="145" t="s">
        <v>94</v>
      </c>
      <c r="I20" s="147"/>
    </row>
    <row r="21" spans="1:9" ht="26.1">
      <c r="A21" s="139">
        <v>19</v>
      </c>
      <c r="B21" s="144" t="s">
        <v>120</v>
      </c>
      <c r="C21" s="145" t="s">
        <v>113</v>
      </c>
      <c r="D21" s="145" t="s">
        <v>86</v>
      </c>
      <c r="E21" s="146" t="s">
        <v>93</v>
      </c>
      <c r="F21" s="146"/>
      <c r="G21" s="146" t="s">
        <v>109</v>
      </c>
      <c r="H21" s="145" t="s">
        <v>94</v>
      </c>
      <c r="I21" s="147"/>
    </row>
    <row r="22" spans="1:9" ht="26.1">
      <c r="A22" s="139">
        <v>20</v>
      </c>
      <c r="B22" s="144" t="s">
        <v>121</v>
      </c>
      <c r="C22" s="145"/>
      <c r="D22" s="145" t="s">
        <v>122</v>
      </c>
      <c r="E22" s="146" t="s">
        <v>123</v>
      </c>
      <c r="F22" s="146"/>
      <c r="G22" s="146"/>
      <c r="H22" s="145" t="s">
        <v>124</v>
      </c>
      <c r="I22" s="147"/>
    </row>
    <row r="23" spans="1:9" ht="26.1">
      <c r="A23" s="139">
        <v>21</v>
      </c>
      <c r="B23" s="144" t="s">
        <v>125</v>
      </c>
      <c r="C23" s="145"/>
      <c r="D23" s="145" t="s">
        <v>126</v>
      </c>
      <c r="E23" s="146"/>
      <c r="F23" s="146"/>
      <c r="G23" s="146"/>
      <c r="H23" s="145" t="s">
        <v>127</v>
      </c>
      <c r="I23" s="147"/>
    </row>
    <row r="24" spans="1:9">
      <c r="A24" s="139">
        <v>22</v>
      </c>
      <c r="B24" s="144" t="s">
        <v>128</v>
      </c>
      <c r="C24" s="145"/>
      <c r="D24" s="145" t="s">
        <v>126</v>
      </c>
      <c r="E24" s="146"/>
      <c r="F24" s="146"/>
      <c r="G24" s="146"/>
      <c r="H24" s="145" t="s">
        <v>129</v>
      </c>
      <c r="I24" s="147"/>
    </row>
    <row r="25" spans="1:9" ht="26.1">
      <c r="A25" s="139">
        <v>23</v>
      </c>
      <c r="B25" s="144" t="s">
        <v>130</v>
      </c>
      <c r="C25" s="145" t="s">
        <v>92</v>
      </c>
      <c r="D25" s="145" t="s">
        <v>107</v>
      </c>
      <c r="E25" s="146"/>
      <c r="F25" s="146"/>
      <c r="G25" s="146" t="s">
        <v>131</v>
      </c>
      <c r="H25" s="145" t="s">
        <v>87</v>
      </c>
      <c r="I25" s="147"/>
    </row>
    <row r="26" spans="1:9" ht="26.1">
      <c r="A26" s="139">
        <v>24</v>
      </c>
      <c r="B26" s="144" t="s">
        <v>132</v>
      </c>
      <c r="C26" s="145" t="s">
        <v>92</v>
      </c>
      <c r="D26" s="145" t="s">
        <v>107</v>
      </c>
      <c r="E26" s="146"/>
      <c r="F26" s="146"/>
      <c r="G26" s="146" t="s">
        <v>89</v>
      </c>
      <c r="H26" s="145" t="s">
        <v>87</v>
      </c>
      <c r="I26" s="147"/>
    </row>
    <row r="27" spans="1:9">
      <c r="A27" s="139">
        <v>25</v>
      </c>
      <c r="B27" s="144" t="s">
        <v>133</v>
      </c>
      <c r="C27" s="145"/>
      <c r="D27" s="145" t="s">
        <v>86</v>
      </c>
      <c r="E27" s="146"/>
      <c r="F27" s="146"/>
      <c r="G27" s="146"/>
      <c r="H27" s="145" t="s">
        <v>104</v>
      </c>
      <c r="I27" s="147"/>
    </row>
    <row r="28" spans="1:9">
      <c r="A28" s="139">
        <v>26</v>
      </c>
      <c r="B28" s="144" t="s">
        <v>134</v>
      </c>
      <c r="C28" s="145"/>
      <c r="D28" s="145" t="s">
        <v>98</v>
      </c>
      <c r="E28" s="146"/>
      <c r="F28" s="146"/>
      <c r="G28" s="146"/>
      <c r="H28" s="145" t="s">
        <v>104</v>
      </c>
      <c r="I28" s="147"/>
    </row>
    <row r="29" spans="1:9">
      <c r="A29" s="139">
        <v>27</v>
      </c>
      <c r="B29" s="144" t="s">
        <v>135</v>
      </c>
      <c r="C29" s="145"/>
      <c r="D29" s="145" t="s">
        <v>126</v>
      </c>
      <c r="E29" s="146"/>
      <c r="F29" s="146"/>
      <c r="G29" s="146"/>
      <c r="H29" s="145" t="s">
        <v>104</v>
      </c>
      <c r="I29" s="147"/>
    </row>
    <row r="30" spans="1:9">
      <c r="A30" s="139">
        <v>28</v>
      </c>
      <c r="B30" s="144" t="s">
        <v>136</v>
      </c>
      <c r="C30" s="145"/>
      <c r="D30" s="145" t="s">
        <v>100</v>
      </c>
      <c r="E30" s="146"/>
      <c r="F30" s="146"/>
      <c r="G30" s="146"/>
      <c r="H30" s="145" t="s">
        <v>104</v>
      </c>
      <c r="I30" s="147"/>
    </row>
    <row r="31" spans="1:9">
      <c r="A31" s="139">
        <v>29</v>
      </c>
      <c r="B31" s="144" t="s">
        <v>137</v>
      </c>
      <c r="C31" s="145" t="s">
        <v>138</v>
      </c>
      <c r="D31" s="145" t="s">
        <v>86</v>
      </c>
      <c r="E31" s="146" t="s">
        <v>88</v>
      </c>
      <c r="F31" s="146"/>
      <c r="G31" s="146" t="s">
        <v>89</v>
      </c>
      <c r="H31" s="145" t="s">
        <v>87</v>
      </c>
      <c r="I31" s="147"/>
    </row>
    <row r="32" spans="1:9">
      <c r="A32" s="139">
        <v>30</v>
      </c>
      <c r="B32" s="148" t="s">
        <v>139</v>
      </c>
      <c r="C32" s="149" t="s">
        <v>138</v>
      </c>
      <c r="D32" s="149" t="s">
        <v>86</v>
      </c>
      <c r="E32" s="150" t="s">
        <v>88</v>
      </c>
      <c r="F32" s="150"/>
      <c r="G32" s="150" t="s">
        <v>131</v>
      </c>
      <c r="H32" s="149" t="s">
        <v>87</v>
      </c>
      <c r="I32" s="151"/>
    </row>
    <row r="33" spans="1:9" ht="45.75" customHeight="1">
      <c r="A33" s="139">
        <v>31</v>
      </c>
      <c r="B33" s="144" t="s">
        <v>32</v>
      </c>
      <c r="C33" s="145"/>
      <c r="D33" s="145" t="s">
        <v>140</v>
      </c>
      <c r="E33" s="145" t="s">
        <v>141</v>
      </c>
      <c r="F33" s="146"/>
      <c r="G33" s="146"/>
      <c r="H33" s="145" t="s">
        <v>142</v>
      </c>
      <c r="I33" s="147"/>
    </row>
    <row r="34" spans="1:9" ht="48" customHeight="1" thickBot="1">
      <c r="A34" s="139">
        <v>32</v>
      </c>
      <c r="B34" s="152" t="s">
        <v>33</v>
      </c>
      <c r="C34" s="153"/>
      <c r="D34" s="153" t="s">
        <v>140</v>
      </c>
      <c r="E34" s="153" t="s">
        <v>141</v>
      </c>
      <c r="F34" s="154"/>
      <c r="G34" s="154"/>
      <c r="H34" s="153" t="s">
        <v>143</v>
      </c>
      <c r="I34" s="155"/>
    </row>
  </sheetData>
  <mergeCells count="2">
    <mergeCell ref="B1:H1"/>
    <mergeCell ref="A2:B2"/>
  </mergeCells>
  <hyperlinks>
    <hyperlink ref="I1" location="Home_page" display="Back to_x000a_home page" xr:uid="{0B39CFA3-C079-4886-BDB2-E340B4693196}"/>
  </hyperlinks>
  <pageMargins left="0.70866141732283472" right="0.70866141732283472" top="0.74803149606299213" bottom="0.74803149606299213" header="0.31496062992125984" footer="0.31496062992125984"/>
  <pageSetup paperSize="9" scale="6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7315-8BBD-40BC-9807-031E483B2E85}">
  <sheetPr codeName="Feuille2">
    <pageSetUpPr fitToPage="1"/>
  </sheetPr>
  <dimension ref="A1:N36"/>
  <sheetViews>
    <sheetView workbookViewId="0">
      <selection activeCell="A36" sqref="A36:N36"/>
    </sheetView>
  </sheetViews>
  <sheetFormatPr defaultColWidth="8.625" defaultRowHeight="12.6"/>
  <cols>
    <col min="1" max="1" width="26.125" style="18" customWidth="1"/>
    <col min="2" max="2" width="12.125" style="7" customWidth="1"/>
    <col min="3" max="3" width="8.625" style="7"/>
    <col min="4" max="14" width="10.125" style="7" customWidth="1"/>
    <col min="15" max="16384" width="8.625" style="2"/>
  </cols>
  <sheetData>
    <row r="1" spans="1:14" ht="32.25" customHeight="1">
      <c r="A1" s="5" t="s">
        <v>144</v>
      </c>
      <c r="B1" s="6"/>
      <c r="C1" s="6"/>
      <c r="D1" s="6"/>
      <c r="E1" s="6"/>
      <c r="F1" s="6"/>
      <c r="G1" s="6"/>
      <c r="H1" s="6"/>
      <c r="M1" s="178" t="s">
        <v>41</v>
      </c>
      <c r="N1" s="178"/>
    </row>
    <row r="2" spans="1:14" ht="12.95">
      <c r="A2" s="8" t="s">
        <v>145</v>
      </c>
      <c r="B2" s="6"/>
      <c r="C2" s="6"/>
      <c r="D2" s="6"/>
      <c r="E2" s="6"/>
      <c r="F2" s="6"/>
      <c r="G2" s="6"/>
      <c r="H2" s="6"/>
      <c r="K2" s="9"/>
      <c r="L2" s="9"/>
    </row>
    <row r="3" spans="1:14" ht="65.45" thickBot="1">
      <c r="A3" s="10" t="s">
        <v>146</v>
      </c>
      <c r="B3" s="11" t="s">
        <v>147</v>
      </c>
      <c r="C3" s="11" t="s">
        <v>148</v>
      </c>
      <c r="D3" s="11" t="s">
        <v>149</v>
      </c>
      <c r="E3" s="11" t="s">
        <v>150</v>
      </c>
      <c r="F3" s="11" t="s">
        <v>151</v>
      </c>
      <c r="G3" s="11" t="s">
        <v>152</v>
      </c>
      <c r="H3" s="11" t="s">
        <v>153</v>
      </c>
      <c r="I3" s="11" t="s">
        <v>154</v>
      </c>
      <c r="J3" s="11" t="s">
        <v>151</v>
      </c>
      <c r="K3" s="11" t="s">
        <v>152</v>
      </c>
      <c r="L3" s="11" t="s">
        <v>153</v>
      </c>
      <c r="M3" s="11" t="s">
        <v>154</v>
      </c>
      <c r="N3" s="11" t="s">
        <v>155</v>
      </c>
    </row>
    <row r="4" spans="1:14" ht="15">
      <c r="A4" s="12" t="s">
        <v>10</v>
      </c>
      <c r="B4" s="13" t="s">
        <v>156</v>
      </c>
      <c r="C4" s="14">
        <v>7</v>
      </c>
      <c r="D4" s="14">
        <v>178.42857360839844</v>
      </c>
      <c r="E4" s="14">
        <v>1380.8668212890625</v>
      </c>
      <c r="F4" s="15">
        <v>3.1720800613188072</v>
      </c>
      <c r="G4" s="15">
        <v>4.8571635675295806</v>
      </c>
      <c r="H4" s="15">
        <v>4.5727958652376923</v>
      </c>
      <c r="I4" s="15">
        <v>0.63331257987474809</v>
      </c>
      <c r="J4" s="16" t="s">
        <v>157</v>
      </c>
      <c r="K4" s="16" t="s">
        <v>158</v>
      </c>
      <c r="L4" s="16" t="s">
        <v>158</v>
      </c>
      <c r="M4" s="16" t="s">
        <v>157</v>
      </c>
      <c r="N4" s="17">
        <v>-0.53719089505343931</v>
      </c>
    </row>
    <row r="5" spans="1:14" ht="15">
      <c r="A5" s="12" t="s">
        <v>11</v>
      </c>
      <c r="B5" s="13" t="s">
        <v>159</v>
      </c>
      <c r="C5" s="14">
        <v>29</v>
      </c>
      <c r="D5" s="14">
        <v>155.34483337402344</v>
      </c>
      <c r="E5" s="14">
        <v>5091.955078125</v>
      </c>
      <c r="F5" s="15">
        <v>2.8688298168371227</v>
      </c>
      <c r="G5" s="15">
        <v>5.4985352267110112</v>
      </c>
      <c r="H5" s="15">
        <v>4.8995089765670103</v>
      </c>
      <c r="I5" s="15">
        <v>0.88341877658034906</v>
      </c>
      <c r="J5" s="16" t="s">
        <v>160</v>
      </c>
      <c r="K5" s="16" t="s">
        <v>158</v>
      </c>
      <c r="L5" s="16" t="s">
        <v>160</v>
      </c>
      <c r="M5" s="16" t="s">
        <v>157</v>
      </c>
      <c r="N5" s="17">
        <v>0.15409825621663775</v>
      </c>
    </row>
    <row r="6" spans="1:14" ht="15">
      <c r="A6" s="12" t="s">
        <v>12</v>
      </c>
      <c r="B6" s="13" t="s">
        <v>159</v>
      </c>
      <c r="C6" s="14">
        <v>30</v>
      </c>
      <c r="D6" s="14">
        <v>118.76667022705078</v>
      </c>
      <c r="E6" s="14">
        <v>2353.606201171875</v>
      </c>
      <c r="F6" s="15">
        <v>3.6132223505791354</v>
      </c>
      <c r="G6" s="15">
        <v>6.8455581336879856</v>
      </c>
      <c r="H6" s="15">
        <v>5.4776631161000653</v>
      </c>
      <c r="I6" s="15">
        <v>1.6273598869479684</v>
      </c>
      <c r="J6" s="16" t="s">
        <v>160</v>
      </c>
      <c r="K6" s="16" t="s">
        <v>158</v>
      </c>
      <c r="L6" s="16" t="s">
        <v>158</v>
      </c>
      <c r="M6" s="16" t="s">
        <v>157</v>
      </c>
      <c r="N6" s="17">
        <v>8.3807345120802124E-2</v>
      </c>
    </row>
    <row r="7" spans="1:14" ht="15">
      <c r="A7" s="12" t="s">
        <v>13</v>
      </c>
      <c r="B7" s="13" t="s">
        <v>161</v>
      </c>
      <c r="C7" s="14">
        <v>12</v>
      </c>
      <c r="D7" s="14">
        <v>280.08334350585938</v>
      </c>
      <c r="E7" s="14">
        <v>6336.6708984375</v>
      </c>
      <c r="F7" s="15">
        <v>3.149142899407595</v>
      </c>
      <c r="G7" s="15">
        <v>8.8575317459762797</v>
      </c>
      <c r="H7" s="15">
        <v>8.6960008165081408</v>
      </c>
      <c r="I7" s="15">
        <v>0.18655630411841581</v>
      </c>
      <c r="J7" s="16" t="s">
        <v>158</v>
      </c>
      <c r="K7" s="16" t="s">
        <v>158</v>
      </c>
      <c r="L7" s="16" t="s">
        <v>158</v>
      </c>
      <c r="M7" s="16" t="s">
        <v>157</v>
      </c>
      <c r="N7" s="17">
        <v>-5.5772781263750314E-2</v>
      </c>
    </row>
    <row r="8" spans="1:14" ht="15">
      <c r="A8" s="12" t="s">
        <v>14</v>
      </c>
      <c r="B8" s="13" t="s">
        <v>162</v>
      </c>
      <c r="C8" s="14">
        <v>44</v>
      </c>
      <c r="D8" s="14">
        <v>139.54545593261719</v>
      </c>
      <c r="E8" s="14">
        <v>3296.269287109375</v>
      </c>
      <c r="F8" s="15">
        <v>2.7152516590806064</v>
      </c>
      <c r="G8" s="15">
        <v>6.8319981923141073</v>
      </c>
      <c r="H8" s="15">
        <v>5.4642921156975603</v>
      </c>
      <c r="I8" s="15">
        <v>1.3677060766165465</v>
      </c>
      <c r="J8" s="16" t="s">
        <v>158</v>
      </c>
      <c r="K8" s="16" t="s">
        <v>158</v>
      </c>
      <c r="L8" s="16" t="s">
        <v>158</v>
      </c>
      <c r="M8" s="16" t="s">
        <v>157</v>
      </c>
      <c r="N8" s="17">
        <v>-0.54170858161480284</v>
      </c>
    </row>
    <row r="9" spans="1:14" ht="15">
      <c r="A9" s="12" t="s">
        <v>15</v>
      </c>
      <c r="B9" s="13" t="s">
        <v>161</v>
      </c>
      <c r="C9" s="14">
        <v>26</v>
      </c>
      <c r="D9" s="14">
        <v>157.34616088867188</v>
      </c>
      <c r="E9" s="14">
        <v>7240.0947265625</v>
      </c>
      <c r="F9" s="15">
        <v>4.6857723014313786</v>
      </c>
      <c r="G9" s="15">
        <v>10.315725112644879</v>
      </c>
      <c r="H9" s="15">
        <v>9.1418078798863025</v>
      </c>
      <c r="I9" s="15">
        <v>1.2878415572360347</v>
      </c>
      <c r="J9" s="16" t="s">
        <v>160</v>
      </c>
      <c r="K9" s="16" t="s">
        <v>160</v>
      </c>
      <c r="L9" s="16" t="s">
        <v>160</v>
      </c>
      <c r="M9" s="16" t="s">
        <v>157</v>
      </c>
      <c r="N9" s="17">
        <v>0.254910602903892</v>
      </c>
    </row>
    <row r="10" spans="1:14" ht="15">
      <c r="A10" s="12" t="s">
        <v>163</v>
      </c>
      <c r="B10" s="13"/>
      <c r="C10" s="14">
        <v>1472</v>
      </c>
      <c r="D10" s="14" t="s">
        <v>164</v>
      </c>
      <c r="E10" s="14" t="s">
        <v>164</v>
      </c>
      <c r="F10" s="15"/>
      <c r="G10" s="15"/>
      <c r="H10" s="15"/>
      <c r="I10" s="15"/>
      <c r="J10" s="16" t="s">
        <v>164</v>
      </c>
      <c r="K10" s="16" t="s">
        <v>164</v>
      </c>
      <c r="L10" s="16" t="s">
        <v>164</v>
      </c>
      <c r="M10" s="16" t="s">
        <v>164</v>
      </c>
      <c r="N10" s="17"/>
    </row>
    <row r="11" spans="1:14" ht="15">
      <c r="A11" s="12" t="s">
        <v>16</v>
      </c>
      <c r="B11" s="13" t="s">
        <v>165</v>
      </c>
      <c r="C11" s="14">
        <v>26</v>
      </c>
      <c r="D11" s="14">
        <v>158.23077392578125</v>
      </c>
      <c r="E11" s="14">
        <v>4124.1298828125</v>
      </c>
      <c r="F11" s="15">
        <v>2.6770711485786149</v>
      </c>
      <c r="G11" s="15">
        <v>6.2076602277871054</v>
      </c>
      <c r="H11" s="15">
        <v>5.075206231729255</v>
      </c>
      <c r="I11" s="15">
        <v>1.2469856030712323</v>
      </c>
      <c r="J11" s="16" t="s">
        <v>158</v>
      </c>
      <c r="K11" s="16" t="s">
        <v>157</v>
      </c>
      <c r="L11" s="16" t="s">
        <v>158</v>
      </c>
      <c r="M11" s="16" t="s">
        <v>157</v>
      </c>
      <c r="N11" s="17">
        <v>-0.40426017161773797</v>
      </c>
    </row>
    <row r="12" spans="1:14" ht="15">
      <c r="A12" s="12" t="s">
        <v>17</v>
      </c>
      <c r="B12" s="13" t="s">
        <v>159</v>
      </c>
      <c r="C12" s="14">
        <v>38</v>
      </c>
      <c r="D12" s="14">
        <v>18.894737243652344</v>
      </c>
      <c r="E12" s="14">
        <v>59.889900207519531</v>
      </c>
      <c r="F12" s="15">
        <v>0.78122019503364037</v>
      </c>
      <c r="G12" s="15">
        <v>2.0096586659428284</v>
      </c>
      <c r="H12" s="15">
        <v>3.9264854420839761</v>
      </c>
      <c r="I12" s="15">
        <v>-1.9168267761411479</v>
      </c>
      <c r="J12" s="16" t="s">
        <v>157</v>
      </c>
      <c r="K12" s="16" t="s">
        <v>157</v>
      </c>
      <c r="L12" s="16" t="s">
        <v>157</v>
      </c>
      <c r="M12" s="16" t="s">
        <v>157</v>
      </c>
      <c r="N12" s="17">
        <v>-0.44675139080307102</v>
      </c>
    </row>
    <row r="13" spans="1:14" ht="15">
      <c r="A13" s="12" t="s">
        <v>18</v>
      </c>
      <c r="B13" s="13" t="s">
        <v>166</v>
      </c>
      <c r="C13" s="14">
        <v>1346</v>
      </c>
      <c r="D13" s="14">
        <v>17.299406051635742</v>
      </c>
      <c r="E13" s="14">
        <v>1428.843505859375</v>
      </c>
      <c r="F13" s="15">
        <v>1.7935237248816298</v>
      </c>
      <c r="G13" s="15">
        <v>6.4003753608594529</v>
      </c>
      <c r="H13" s="15">
        <v>10.155269978813768</v>
      </c>
      <c r="I13" s="15">
        <v>-1.4945816556816898</v>
      </c>
      <c r="J13" s="16" t="s">
        <v>160</v>
      </c>
      <c r="K13" s="16" t="s">
        <v>160</v>
      </c>
      <c r="L13" s="16" t="s">
        <v>157</v>
      </c>
      <c r="M13" s="16" t="s">
        <v>157</v>
      </c>
      <c r="N13" s="17">
        <v>0.10612508208576857</v>
      </c>
    </row>
    <row r="14" spans="1:14" ht="15">
      <c r="A14" s="12" t="s">
        <v>167</v>
      </c>
      <c r="B14" s="13" t="s">
        <v>168</v>
      </c>
      <c r="C14" s="14">
        <v>22</v>
      </c>
      <c r="D14" s="14">
        <v>105.77272796630859</v>
      </c>
      <c r="E14" s="14">
        <v>17372.642578125</v>
      </c>
      <c r="F14" s="15">
        <v>9.6571396085367738</v>
      </c>
      <c r="G14" s="15">
        <v>14.889278127892242</v>
      </c>
      <c r="H14" s="15">
        <v>12.140004723487916</v>
      </c>
      <c r="I14" s="15">
        <v>2.7814163121333748</v>
      </c>
      <c r="J14" s="16" t="s">
        <v>160</v>
      </c>
      <c r="K14" s="16" t="s">
        <v>160</v>
      </c>
      <c r="L14" s="16" t="s">
        <v>157</v>
      </c>
      <c r="M14" s="16" t="s">
        <v>157</v>
      </c>
      <c r="N14" s="17">
        <v>0.49899920622810739</v>
      </c>
    </row>
    <row r="15" spans="1:14" ht="15">
      <c r="A15" s="12" t="s">
        <v>19</v>
      </c>
      <c r="B15" s="13" t="s">
        <v>169</v>
      </c>
      <c r="C15" s="14">
        <v>5</v>
      </c>
      <c r="D15" s="14">
        <v>245</v>
      </c>
      <c r="E15" s="14">
        <v>2033.28955078125</v>
      </c>
      <c r="F15" s="15">
        <v>1.1211357339286796</v>
      </c>
      <c r="G15" s="15">
        <v>1.4344969646404717</v>
      </c>
      <c r="H15" s="15">
        <v>3.0634585464908457</v>
      </c>
      <c r="I15" s="15">
        <v>-1.5852166105928762</v>
      </c>
      <c r="J15" s="16" t="s">
        <v>158</v>
      </c>
      <c r="K15" s="16" t="s">
        <v>157</v>
      </c>
      <c r="L15" s="16" t="s">
        <v>158</v>
      </c>
      <c r="M15" s="16" t="s">
        <v>157</v>
      </c>
      <c r="N15" s="17">
        <v>-0.69639632738025181</v>
      </c>
    </row>
    <row r="16" spans="1:14" ht="15">
      <c r="A16" s="12" t="s">
        <v>20</v>
      </c>
      <c r="B16" s="13" t="s">
        <v>170</v>
      </c>
      <c r="C16" s="14">
        <v>17</v>
      </c>
      <c r="D16" s="14">
        <v>77.352943420410156</v>
      </c>
      <c r="E16" s="14">
        <v>413.46359252929688</v>
      </c>
      <c r="F16" s="15">
        <v>1.6164181437961793</v>
      </c>
      <c r="G16" s="15">
        <v>4.2827949816408619</v>
      </c>
      <c r="H16" s="15">
        <v>4.3884886233962934</v>
      </c>
      <c r="I16" s="15">
        <v>-0.10569364175543139</v>
      </c>
      <c r="J16" s="16" t="s">
        <v>157</v>
      </c>
      <c r="K16" s="16" t="s">
        <v>157</v>
      </c>
      <c r="L16" s="16" t="s">
        <v>157</v>
      </c>
      <c r="M16" s="16" t="s">
        <v>157</v>
      </c>
      <c r="N16" s="17">
        <v>-0.70852050060084271</v>
      </c>
    </row>
    <row r="17" spans="1:14" ht="15">
      <c r="A17" s="12" t="s">
        <v>21</v>
      </c>
      <c r="B17" s="13" t="s">
        <v>159</v>
      </c>
      <c r="C17" s="14">
        <v>70</v>
      </c>
      <c r="D17" s="14">
        <v>193.30000305175781</v>
      </c>
      <c r="E17" s="14">
        <v>19543.484375</v>
      </c>
      <c r="F17" s="15">
        <v>3.1469341203342047</v>
      </c>
      <c r="G17" s="15">
        <v>7.808835188164025</v>
      </c>
      <c r="H17" s="15">
        <v>7.4530443008084779</v>
      </c>
      <c r="I17" s="15">
        <v>0.72657227798851765</v>
      </c>
      <c r="J17" s="16" t="s">
        <v>160</v>
      </c>
      <c r="K17" s="16" t="s">
        <v>160</v>
      </c>
      <c r="L17" s="16" t="s">
        <v>160</v>
      </c>
      <c r="M17" s="16" t="s">
        <v>157</v>
      </c>
      <c r="N17" s="17">
        <v>0.16430915414272285</v>
      </c>
    </row>
    <row r="18" spans="1:14" ht="15">
      <c r="A18" s="12" t="s">
        <v>22</v>
      </c>
      <c r="B18" s="13" t="s">
        <v>159</v>
      </c>
      <c r="C18" s="14">
        <v>62</v>
      </c>
      <c r="D18" s="14">
        <v>100.5</v>
      </c>
      <c r="E18" s="14">
        <v>3394.146728515625</v>
      </c>
      <c r="F18" s="15">
        <v>2.8947798306090391</v>
      </c>
      <c r="G18" s="15">
        <v>6.655585517571156</v>
      </c>
      <c r="H18" s="15">
        <v>5.9805874798479337</v>
      </c>
      <c r="I18" s="15">
        <v>1.0875502833424391</v>
      </c>
      <c r="J18" s="16" t="s">
        <v>160</v>
      </c>
      <c r="K18" s="16" t="s">
        <v>158</v>
      </c>
      <c r="L18" s="16" t="s">
        <v>158</v>
      </c>
      <c r="M18" s="16" t="s">
        <v>157</v>
      </c>
      <c r="N18" s="17">
        <v>-4.8328025199824726E-3</v>
      </c>
    </row>
    <row r="19" spans="1:14" ht="15">
      <c r="A19" s="12" t="s">
        <v>23</v>
      </c>
      <c r="B19" s="13" t="s">
        <v>156</v>
      </c>
      <c r="C19" s="14">
        <v>41</v>
      </c>
      <c r="D19" s="14">
        <v>207.36585998535156</v>
      </c>
      <c r="E19" s="14">
        <v>37605.77734375</v>
      </c>
      <c r="F19" s="15">
        <v>5.0287486367302883</v>
      </c>
      <c r="G19" s="15">
        <v>9.6934765739913118</v>
      </c>
      <c r="H19" s="15">
        <v>8.9524889100884071</v>
      </c>
      <c r="I19" s="15">
        <v>0.99552137361904025</v>
      </c>
      <c r="J19" s="16" t="s">
        <v>158</v>
      </c>
      <c r="K19" s="16" t="s">
        <v>160</v>
      </c>
      <c r="L19" s="16" t="s">
        <v>158</v>
      </c>
      <c r="M19" s="16" t="s">
        <v>157</v>
      </c>
      <c r="N19" s="17">
        <v>0.12094708359028519</v>
      </c>
    </row>
    <row r="20" spans="1:14" ht="15">
      <c r="A20" s="12" t="s">
        <v>24</v>
      </c>
      <c r="B20" s="13" t="s">
        <v>156</v>
      </c>
      <c r="C20" s="14">
        <v>26</v>
      </c>
      <c r="D20" s="14">
        <v>162.03846740722656</v>
      </c>
      <c r="E20" s="14">
        <v>19322.845703125</v>
      </c>
      <c r="F20" s="15">
        <v>8.3597903337356758</v>
      </c>
      <c r="G20" s="15">
        <v>15.176239837282273</v>
      </c>
      <c r="H20" s="15">
        <v>13.66832962554974</v>
      </c>
      <c r="I20" s="15">
        <v>1.983191107646705</v>
      </c>
      <c r="J20" s="16" t="s">
        <v>158</v>
      </c>
      <c r="K20" s="16" t="s">
        <v>160</v>
      </c>
      <c r="L20" s="16" t="s">
        <v>171</v>
      </c>
      <c r="M20" s="16" t="s">
        <v>157</v>
      </c>
      <c r="N20" s="17">
        <v>9.7011381953100995E-2</v>
      </c>
    </row>
    <row r="21" spans="1:14" ht="15">
      <c r="A21" s="12" t="s">
        <v>25</v>
      </c>
      <c r="B21" s="13" t="s">
        <v>172</v>
      </c>
      <c r="C21" s="14">
        <v>21</v>
      </c>
      <c r="D21" s="14">
        <v>201.19047546386719</v>
      </c>
      <c r="E21" s="14">
        <v>13591.4345703125</v>
      </c>
      <c r="F21" s="15">
        <v>3.9013346583132309</v>
      </c>
      <c r="G21" s="15">
        <v>6.3570613457247198</v>
      </c>
      <c r="H21" s="15">
        <v>6.0652740657954576</v>
      </c>
      <c r="I21" s="15">
        <v>0.49402770091138321</v>
      </c>
      <c r="J21" s="16" t="s">
        <v>157</v>
      </c>
      <c r="K21" s="16" t="s">
        <v>157</v>
      </c>
      <c r="L21" s="16" t="s">
        <v>157</v>
      </c>
      <c r="M21" s="16" t="s">
        <v>157</v>
      </c>
      <c r="N21" s="17">
        <v>-0.60305710590199801</v>
      </c>
    </row>
    <row r="22" spans="1:14" ht="15">
      <c r="A22" s="12" t="s">
        <v>26</v>
      </c>
      <c r="B22" s="13" t="s">
        <v>161</v>
      </c>
      <c r="C22" s="14">
        <v>24</v>
      </c>
      <c r="D22" s="14">
        <v>202.79167175292969</v>
      </c>
      <c r="E22" s="14">
        <v>10827.8671875</v>
      </c>
      <c r="F22" s="15">
        <v>4.4968315536811083</v>
      </c>
      <c r="G22" s="15">
        <v>10.700973495781716</v>
      </c>
      <c r="H22" s="15">
        <v>9.507655503174762</v>
      </c>
      <c r="I22" s="15">
        <v>1.9247805007121517</v>
      </c>
      <c r="J22" s="16" t="s">
        <v>158</v>
      </c>
      <c r="K22" s="16" t="s">
        <v>160</v>
      </c>
      <c r="L22" s="16" t="s">
        <v>158</v>
      </c>
      <c r="M22" s="16" t="s">
        <v>157</v>
      </c>
      <c r="N22" s="17">
        <v>-7.4518948303464116E-2</v>
      </c>
    </row>
    <row r="23" spans="1:14" ht="15">
      <c r="A23" s="12" t="s">
        <v>27</v>
      </c>
      <c r="B23" s="13" t="s">
        <v>161</v>
      </c>
      <c r="C23" s="14">
        <v>10</v>
      </c>
      <c r="D23" s="14">
        <v>93.5</v>
      </c>
      <c r="E23" s="14">
        <v>892.70831298828125</v>
      </c>
      <c r="F23" s="15">
        <v>3.6391768715301489</v>
      </c>
      <c r="G23" s="15">
        <v>8.5245899237683691</v>
      </c>
      <c r="H23" s="15">
        <v>9.4862184082698064</v>
      </c>
      <c r="I23" s="15">
        <v>-0.47686434043843379</v>
      </c>
      <c r="J23" s="16" t="s">
        <v>157</v>
      </c>
      <c r="K23" s="16" t="s">
        <v>157</v>
      </c>
      <c r="L23" s="16" t="s">
        <v>157</v>
      </c>
      <c r="M23" s="16" t="s">
        <v>157</v>
      </c>
      <c r="N23" s="17">
        <v>-0.54908770424052245</v>
      </c>
    </row>
    <row r="24" spans="1:14" ht="15">
      <c r="A24" s="12" t="s">
        <v>173</v>
      </c>
      <c r="B24" s="13" t="s">
        <v>123</v>
      </c>
      <c r="C24" s="14">
        <v>26</v>
      </c>
      <c r="D24" s="14">
        <v>64.115386962890625</v>
      </c>
      <c r="E24" s="14">
        <v>361129.5</v>
      </c>
      <c r="F24" s="15">
        <v>44.525764870527624</v>
      </c>
      <c r="G24" s="15">
        <v>37.702951189837556</v>
      </c>
      <c r="H24" s="15">
        <v>18.573015388822853</v>
      </c>
      <c r="I24" s="15">
        <v>19.645794708504951</v>
      </c>
      <c r="J24" s="16" t="s">
        <v>160</v>
      </c>
      <c r="K24" s="16" t="s">
        <v>157</v>
      </c>
      <c r="L24" s="16" t="s">
        <v>157</v>
      </c>
      <c r="M24" s="16" t="s">
        <v>157</v>
      </c>
      <c r="N24" s="17">
        <v>0.31920055110404122</v>
      </c>
    </row>
    <row r="25" spans="1:14" ht="15">
      <c r="A25" s="12" t="s">
        <v>28</v>
      </c>
      <c r="B25" s="13" t="s">
        <v>174</v>
      </c>
      <c r="C25" s="14">
        <v>172</v>
      </c>
      <c r="D25" s="14">
        <v>145.39535522460938</v>
      </c>
      <c r="E25" s="14">
        <v>8834.7353515625</v>
      </c>
      <c r="F25" s="15">
        <v>2.3829739622537049</v>
      </c>
      <c r="G25" s="15">
        <v>8.6726127873217571</v>
      </c>
      <c r="H25" s="15">
        <v>6.1121906890502942</v>
      </c>
      <c r="I25" s="15">
        <v>2.9471444766327388</v>
      </c>
      <c r="J25" s="16" t="s">
        <v>158</v>
      </c>
      <c r="K25" s="16" t="s">
        <v>160</v>
      </c>
      <c r="L25" s="16" t="s">
        <v>160</v>
      </c>
      <c r="M25" s="16" t="s">
        <v>157</v>
      </c>
      <c r="N25" s="17">
        <v>4.82344370735759E-2</v>
      </c>
    </row>
    <row r="26" spans="1:14" ht="15">
      <c r="A26" s="12" t="s">
        <v>29</v>
      </c>
      <c r="B26" s="13" t="s">
        <v>174</v>
      </c>
      <c r="C26" s="14">
        <v>104</v>
      </c>
      <c r="D26" s="14">
        <v>184.09616088867188</v>
      </c>
      <c r="E26" s="14">
        <v>22573.75</v>
      </c>
      <c r="F26" s="15">
        <v>4.6480015759087863</v>
      </c>
      <c r="G26" s="15">
        <v>12.389880323028782</v>
      </c>
      <c r="H26" s="15">
        <v>10.1039392972625</v>
      </c>
      <c r="I26" s="15">
        <v>2.6052358005722867</v>
      </c>
      <c r="J26" s="16" t="s">
        <v>158</v>
      </c>
      <c r="K26" s="16" t="s">
        <v>160</v>
      </c>
      <c r="L26" s="16" t="s">
        <v>160</v>
      </c>
      <c r="M26" s="16" t="s">
        <v>157</v>
      </c>
      <c r="N26" s="17">
        <v>-0.25939971079451157</v>
      </c>
    </row>
    <row r="27" spans="1:14" ht="15">
      <c r="A27" s="12" t="s">
        <v>30</v>
      </c>
      <c r="B27" s="13" t="s">
        <v>175</v>
      </c>
      <c r="C27" s="14">
        <v>23</v>
      </c>
      <c r="D27" s="14">
        <v>214.47825622558594</v>
      </c>
      <c r="E27" s="14">
        <v>6611.29443359375</v>
      </c>
      <c r="F27" s="15">
        <v>2.0939237512531688</v>
      </c>
      <c r="G27" s="15">
        <v>8.2698858876578019</v>
      </c>
      <c r="H27" s="15">
        <v>7.2597368140693632</v>
      </c>
      <c r="I27" s="15">
        <v>1.0227454116494388</v>
      </c>
      <c r="J27" s="16" t="s">
        <v>158</v>
      </c>
      <c r="K27" s="16" t="s">
        <v>160</v>
      </c>
      <c r="L27" s="16" t="s">
        <v>160</v>
      </c>
      <c r="M27" s="16" t="s">
        <v>157</v>
      </c>
      <c r="N27" s="17">
        <v>-3.0364619341931534E-2</v>
      </c>
    </row>
    <row r="28" spans="1:14" ht="15">
      <c r="A28" s="12" t="s">
        <v>31</v>
      </c>
      <c r="B28" s="13" t="s">
        <v>175</v>
      </c>
      <c r="C28" s="14">
        <v>20</v>
      </c>
      <c r="D28" s="14">
        <v>216.30000305175781</v>
      </c>
      <c r="E28" s="14">
        <v>3608.5673828125</v>
      </c>
      <c r="F28" s="15">
        <v>3.8174020562427544</v>
      </c>
      <c r="G28" s="15">
        <v>14.920776216856479</v>
      </c>
      <c r="H28" s="15">
        <v>12.139207700803727</v>
      </c>
      <c r="I28" s="15">
        <v>2.85645826286019</v>
      </c>
      <c r="J28" s="16" t="s">
        <v>158</v>
      </c>
      <c r="K28" s="16" t="s">
        <v>160</v>
      </c>
      <c r="L28" s="16" t="s">
        <v>158</v>
      </c>
      <c r="M28" s="16" t="s">
        <v>157</v>
      </c>
      <c r="N28" s="17">
        <v>-9.730314760612141E-2</v>
      </c>
    </row>
    <row r="29" spans="1:14" ht="15">
      <c r="A29" s="12" t="s">
        <v>32</v>
      </c>
      <c r="B29" s="13" t="s">
        <v>176</v>
      </c>
      <c r="C29" s="14">
        <v>63</v>
      </c>
      <c r="D29" s="14">
        <v>172.84126281738281</v>
      </c>
      <c r="E29" s="14">
        <v>21458.931640625</v>
      </c>
      <c r="F29" s="15">
        <v>4.5746036938013788</v>
      </c>
      <c r="G29" s="15">
        <v>7.8881817808860077</v>
      </c>
      <c r="H29" s="15">
        <v>6.6355263245561726</v>
      </c>
      <c r="I29" s="15">
        <v>1.3388718311164058</v>
      </c>
      <c r="J29" s="16" t="s">
        <v>157</v>
      </c>
      <c r="K29" s="16" t="s">
        <v>158</v>
      </c>
      <c r="L29" s="16" t="s">
        <v>160</v>
      </c>
      <c r="M29" s="16" t="s">
        <v>157</v>
      </c>
      <c r="N29" s="17">
        <v>-0.3778911952346673</v>
      </c>
    </row>
    <row r="30" spans="1:14" ht="15">
      <c r="A30" s="12" t="s">
        <v>33</v>
      </c>
      <c r="B30" s="13" t="s">
        <v>176</v>
      </c>
      <c r="C30" s="14">
        <v>174</v>
      </c>
      <c r="D30" s="14">
        <v>89.091957092285156</v>
      </c>
      <c r="E30" s="14">
        <v>17223.37109375</v>
      </c>
      <c r="F30" s="15">
        <v>7.1827763403875489</v>
      </c>
      <c r="G30" s="15">
        <v>12.730508051916688</v>
      </c>
      <c r="H30" s="15">
        <v>11.583686736218386</v>
      </c>
      <c r="I30" s="15">
        <v>1.4953216178254372</v>
      </c>
      <c r="J30" s="16" t="s">
        <v>158</v>
      </c>
      <c r="K30" s="16" t="s">
        <v>160</v>
      </c>
      <c r="L30" s="16" t="s">
        <v>160</v>
      </c>
      <c r="M30" s="16" t="s">
        <v>158</v>
      </c>
      <c r="N30" s="17">
        <v>4.3895941350909379E-2</v>
      </c>
    </row>
    <row r="31" spans="1:14" ht="15">
      <c r="A31" s="12" t="s">
        <v>34</v>
      </c>
      <c r="B31" s="13" t="s">
        <v>159</v>
      </c>
      <c r="C31" s="14">
        <v>173</v>
      </c>
      <c r="D31" s="14">
        <v>71.375724792480469</v>
      </c>
      <c r="E31" s="14">
        <v>4442.0576171875</v>
      </c>
      <c r="F31" s="15">
        <v>2.9472330363041723</v>
      </c>
      <c r="G31" s="15">
        <v>7.5283346220230767</v>
      </c>
      <c r="H31" s="15">
        <v>6.598760862600864</v>
      </c>
      <c r="I31" s="15">
        <v>1.2242760676078996</v>
      </c>
      <c r="J31" s="16" t="s">
        <v>160</v>
      </c>
      <c r="K31" s="16" t="s">
        <v>160</v>
      </c>
      <c r="L31" s="16" t="s">
        <v>160</v>
      </c>
      <c r="M31" s="16" t="s">
        <v>157</v>
      </c>
      <c r="N31" s="17">
        <v>0.15874200840443975</v>
      </c>
    </row>
    <row r="32" spans="1:14" ht="15">
      <c r="A32" s="12" t="s">
        <v>35</v>
      </c>
      <c r="B32" s="13" t="s">
        <v>175</v>
      </c>
      <c r="C32" s="14">
        <v>197</v>
      </c>
      <c r="D32" s="14">
        <v>61.893402099609375</v>
      </c>
      <c r="E32" s="14">
        <v>2408.130615234375</v>
      </c>
      <c r="F32" s="15">
        <v>2.5356349098654043</v>
      </c>
      <c r="G32" s="15">
        <v>8.5397580657658487</v>
      </c>
      <c r="H32" s="15">
        <v>5.8592235337777225</v>
      </c>
      <c r="I32" s="15">
        <v>2.9143626384166641</v>
      </c>
      <c r="J32" s="16" t="s">
        <v>160</v>
      </c>
      <c r="K32" s="16" t="s">
        <v>160</v>
      </c>
      <c r="L32" s="16" t="s">
        <v>160</v>
      </c>
      <c r="M32" s="16" t="s">
        <v>157</v>
      </c>
      <c r="N32" s="17">
        <v>-9.4002667288518305E-2</v>
      </c>
    </row>
    <row r="33" spans="1:14" ht="15">
      <c r="A33" s="12" t="s">
        <v>36</v>
      </c>
      <c r="B33" s="13" t="s">
        <v>166</v>
      </c>
      <c r="C33" s="14">
        <v>1167</v>
      </c>
      <c r="D33" s="14">
        <v>78.522705078125</v>
      </c>
      <c r="E33" s="14">
        <v>21700.359375</v>
      </c>
      <c r="F33" s="15">
        <v>2.7415102821716637</v>
      </c>
      <c r="G33" s="15">
        <v>10.537392368903131</v>
      </c>
      <c r="H33" s="15">
        <v>7.6252692824598354</v>
      </c>
      <c r="I33" s="15">
        <v>3.4538792979640247</v>
      </c>
      <c r="J33" s="16" t="s">
        <v>160</v>
      </c>
      <c r="K33" s="16" t="s">
        <v>160</v>
      </c>
      <c r="L33" s="16" t="s">
        <v>160</v>
      </c>
      <c r="M33" s="16" t="s">
        <v>157</v>
      </c>
      <c r="N33" s="17">
        <v>-3.0022537135669918E-2</v>
      </c>
    </row>
    <row r="34" spans="1:14" ht="15">
      <c r="A34" s="12" t="s">
        <v>37</v>
      </c>
      <c r="B34" s="13" t="s">
        <v>177</v>
      </c>
      <c r="C34" s="14">
        <v>228</v>
      </c>
      <c r="D34" s="14">
        <v>55.267543792724609</v>
      </c>
      <c r="E34" s="14">
        <v>2222.9462890625</v>
      </c>
      <c r="F34" s="15">
        <v>2.8205754107382073</v>
      </c>
      <c r="G34" s="15">
        <v>11.971074560240297</v>
      </c>
      <c r="H34" s="15">
        <v>7.356283704645791</v>
      </c>
      <c r="I34" s="15">
        <v>4.7866089495115682</v>
      </c>
      <c r="J34" s="16" t="s">
        <v>160</v>
      </c>
      <c r="K34" s="16" t="s">
        <v>160</v>
      </c>
      <c r="L34" s="16" t="s">
        <v>157</v>
      </c>
      <c r="M34" s="16" t="s">
        <v>160</v>
      </c>
      <c r="N34" s="17">
        <v>8.7610084433761878E-2</v>
      </c>
    </row>
    <row r="35" spans="1:14" ht="15">
      <c r="A35" s="12" t="s">
        <v>38</v>
      </c>
      <c r="B35" s="13" t="s">
        <v>159</v>
      </c>
      <c r="C35" s="14">
        <v>29</v>
      </c>
      <c r="D35" s="14">
        <v>158.72413635253906</v>
      </c>
      <c r="E35" s="14">
        <v>3486.7392578125</v>
      </c>
      <c r="F35" s="15">
        <v>2.4522328702462906</v>
      </c>
      <c r="G35" s="15">
        <v>5.5600111475667919</v>
      </c>
      <c r="H35" s="15">
        <v>5.5930531027951931</v>
      </c>
      <c r="I35" s="15">
        <v>0.39633567560771849</v>
      </c>
      <c r="J35" s="16" t="s">
        <v>158</v>
      </c>
      <c r="K35" s="16" t="s">
        <v>158</v>
      </c>
      <c r="L35" s="16" t="s">
        <v>158</v>
      </c>
      <c r="M35" s="16" t="s">
        <v>157</v>
      </c>
      <c r="N35" s="17">
        <v>-0.24555931514418597</v>
      </c>
    </row>
    <row r="36" spans="1:14" ht="15">
      <c r="A36" s="12" t="s">
        <v>39</v>
      </c>
      <c r="B36" s="13" t="s">
        <v>159</v>
      </c>
      <c r="C36" s="14">
        <v>55</v>
      </c>
      <c r="D36" s="14">
        <v>148.54545593261719</v>
      </c>
      <c r="E36" s="14">
        <v>3933.163818359375</v>
      </c>
      <c r="F36" s="15">
        <v>2.7298565909675845</v>
      </c>
      <c r="G36" s="15">
        <v>6.5569112734605914</v>
      </c>
      <c r="H36" s="15">
        <v>6.6541008747665984</v>
      </c>
      <c r="I36" s="15">
        <v>0.18885110984595554</v>
      </c>
      <c r="J36" s="16" t="s">
        <v>160</v>
      </c>
      <c r="K36" s="16" t="s">
        <v>158</v>
      </c>
      <c r="L36" s="16" t="s">
        <v>158</v>
      </c>
      <c r="M36" s="16" t="s">
        <v>157</v>
      </c>
      <c r="N36" s="17">
        <v>9.6060381919619131E-2</v>
      </c>
    </row>
  </sheetData>
  <mergeCells count="1">
    <mergeCell ref="M1:N1"/>
  </mergeCells>
  <hyperlinks>
    <hyperlink ref="M1:N1" location="Home_page" display="Back to_x000a_home page" xr:uid="{98552BC1-58C2-4578-8015-F6D191EDE198}"/>
  </hyperlinks>
  <pageMargins left="0.7" right="0.7" top="0.75" bottom="0.75" header="0.3" footer="0.3"/>
  <pageSetup paperSize="9" scale="74"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FC819-4885-43CC-B071-877D32FA9EF0}">
  <sheetPr codeName="Feuil5">
    <pageSetUpPr fitToPage="1"/>
  </sheetPr>
  <dimension ref="A1:N36"/>
  <sheetViews>
    <sheetView workbookViewId="0">
      <selection activeCell="A36" sqref="A36:N36"/>
    </sheetView>
  </sheetViews>
  <sheetFormatPr defaultColWidth="8.625" defaultRowHeight="12.6"/>
  <cols>
    <col min="1" max="1" width="26.125" style="18" customWidth="1"/>
    <col min="2" max="2" width="12.125" style="7" customWidth="1"/>
    <col min="3" max="3" width="8.625" style="7"/>
    <col min="4" max="14" width="10.125" style="7" customWidth="1"/>
    <col min="15" max="16384" width="8.625" style="2"/>
  </cols>
  <sheetData>
    <row r="1" spans="1:14" ht="32.25" customHeight="1">
      <c r="A1" s="5" t="s">
        <v>144</v>
      </c>
      <c r="B1" s="6"/>
      <c r="C1" s="6"/>
      <c r="D1" s="6"/>
      <c r="E1" s="6"/>
      <c r="F1" s="6"/>
      <c r="G1" s="6"/>
      <c r="H1" s="6"/>
      <c r="M1" s="178" t="s">
        <v>41</v>
      </c>
      <c r="N1" s="178"/>
    </row>
    <row r="2" spans="1:14" ht="12.95">
      <c r="A2" s="8" t="s">
        <v>178</v>
      </c>
      <c r="B2" s="6"/>
      <c r="C2" s="6"/>
      <c r="D2" s="6"/>
      <c r="E2" s="6"/>
      <c r="F2" s="6"/>
      <c r="G2" s="6"/>
      <c r="H2" s="6"/>
      <c r="K2" s="9"/>
      <c r="L2" s="9"/>
    </row>
    <row r="3" spans="1:14" ht="65.45" thickBot="1">
      <c r="A3" s="10" t="s">
        <v>146</v>
      </c>
      <c r="B3" s="11" t="s">
        <v>147</v>
      </c>
      <c r="C3" s="11" t="s">
        <v>148</v>
      </c>
      <c r="D3" s="11" t="s">
        <v>149</v>
      </c>
      <c r="E3" s="11" t="s">
        <v>150</v>
      </c>
      <c r="F3" s="11" t="s">
        <v>151</v>
      </c>
      <c r="G3" s="11" t="s">
        <v>152</v>
      </c>
      <c r="H3" s="11" t="s">
        <v>153</v>
      </c>
      <c r="I3" s="11" t="s">
        <v>154</v>
      </c>
      <c r="J3" s="11" t="s">
        <v>151</v>
      </c>
      <c r="K3" s="11" t="s">
        <v>152</v>
      </c>
      <c r="L3" s="11" t="s">
        <v>153</v>
      </c>
      <c r="M3" s="11" t="s">
        <v>154</v>
      </c>
      <c r="N3" s="11" t="s">
        <v>179</v>
      </c>
    </row>
    <row r="4" spans="1:14" ht="15">
      <c r="A4" s="12" t="s">
        <v>10</v>
      </c>
      <c r="B4" s="13" t="s">
        <v>156</v>
      </c>
      <c r="C4" s="14">
        <v>7</v>
      </c>
      <c r="D4" s="14">
        <v>110.28571319580078</v>
      </c>
      <c r="E4" s="14">
        <v>1160.3609619140625</v>
      </c>
      <c r="F4" s="15">
        <v>4.1792672931767321</v>
      </c>
      <c r="G4" s="15">
        <v>5.7185971130241278</v>
      </c>
      <c r="H4" s="15">
        <v>5.6606253629130627</v>
      </c>
      <c r="I4" s="15">
        <v>7.2640059328653181E-2</v>
      </c>
      <c r="J4" s="16" t="s">
        <v>158</v>
      </c>
      <c r="K4" s="16" t="s">
        <v>158</v>
      </c>
      <c r="L4" s="16" t="s">
        <v>158</v>
      </c>
      <c r="M4" s="16" t="s">
        <v>157</v>
      </c>
      <c r="N4" s="17">
        <v>-0.17391390812806676</v>
      </c>
    </row>
    <row r="5" spans="1:14" ht="15">
      <c r="A5" s="12" t="s">
        <v>11</v>
      </c>
      <c r="B5" s="13" t="s">
        <v>159</v>
      </c>
      <c r="C5" s="14">
        <v>24</v>
      </c>
      <c r="D5" s="14">
        <v>160.91667175292969</v>
      </c>
      <c r="E5" s="14">
        <v>4430.13818359375</v>
      </c>
      <c r="F5" s="15">
        <v>2.8780416474842108</v>
      </c>
      <c r="G5" s="15">
        <v>7.2482493693466319</v>
      </c>
      <c r="H5" s="15">
        <v>6.9520696283708423</v>
      </c>
      <c r="I5" s="15">
        <v>0.51153514480680806</v>
      </c>
      <c r="J5" s="16" t="s">
        <v>160</v>
      </c>
      <c r="K5" s="16" t="s">
        <v>160</v>
      </c>
      <c r="L5" s="16" t="s">
        <v>160</v>
      </c>
      <c r="M5" s="16" t="s">
        <v>157</v>
      </c>
      <c r="N5" s="17">
        <v>0.26828733644776037</v>
      </c>
    </row>
    <row r="6" spans="1:14" ht="15">
      <c r="A6" s="12" t="s">
        <v>12</v>
      </c>
      <c r="B6" s="13" t="s">
        <v>159</v>
      </c>
      <c r="C6" s="14">
        <v>27</v>
      </c>
      <c r="D6" s="14">
        <v>124.37036895751953</v>
      </c>
      <c r="E6" s="14">
        <v>2295.609130859375</v>
      </c>
      <c r="F6" s="15">
        <v>3.6807541701678952</v>
      </c>
      <c r="G6" s="15">
        <v>9.2586692497261733</v>
      </c>
      <c r="H6" s="15">
        <v>7.6619703465695972</v>
      </c>
      <c r="I6" s="15">
        <v>1.6034427565456832</v>
      </c>
      <c r="J6" s="16" t="s">
        <v>160</v>
      </c>
      <c r="K6" s="16" t="s">
        <v>160</v>
      </c>
      <c r="L6" s="16" t="s">
        <v>160</v>
      </c>
      <c r="M6" s="16" t="s">
        <v>157</v>
      </c>
      <c r="N6" s="17">
        <v>0.15984281424507077</v>
      </c>
    </row>
    <row r="7" spans="1:14" ht="15">
      <c r="A7" s="12" t="s">
        <v>13</v>
      </c>
      <c r="B7" s="13" t="s">
        <v>161</v>
      </c>
      <c r="C7" s="14">
        <v>14</v>
      </c>
      <c r="D7" s="14">
        <v>239.35714721679688</v>
      </c>
      <c r="E7" s="14">
        <v>6860.22021484375</v>
      </c>
      <c r="F7" s="15">
        <v>3.237431211632225</v>
      </c>
      <c r="G7" s="15">
        <v>10.010682560953063</v>
      </c>
      <c r="H7" s="15">
        <v>10.366152342860842</v>
      </c>
      <c r="I7" s="15">
        <v>-0.32718638571702724</v>
      </c>
      <c r="J7" s="16" t="s">
        <v>158</v>
      </c>
      <c r="K7" s="16" t="s">
        <v>158</v>
      </c>
      <c r="L7" s="16" t="s">
        <v>158</v>
      </c>
      <c r="M7" s="16" t="s">
        <v>157</v>
      </c>
      <c r="N7" s="17">
        <v>-8.5639626109900585E-2</v>
      </c>
    </row>
    <row r="8" spans="1:14" ht="15">
      <c r="A8" s="12" t="s">
        <v>14</v>
      </c>
      <c r="B8" s="13" t="s">
        <v>180</v>
      </c>
      <c r="C8" s="14">
        <v>45</v>
      </c>
      <c r="D8" s="14">
        <v>141.11111450195313</v>
      </c>
      <c r="E8" s="14">
        <v>3463.309814453125</v>
      </c>
      <c r="F8" s="15">
        <v>2.4779574651129783</v>
      </c>
      <c r="G8" s="15">
        <v>7.9075282869570129</v>
      </c>
      <c r="H8" s="15">
        <v>6.6202862172376165</v>
      </c>
      <c r="I8" s="15">
        <v>1.2872420697193965</v>
      </c>
      <c r="J8" s="16" t="s">
        <v>158</v>
      </c>
      <c r="K8" s="16" t="s">
        <v>158</v>
      </c>
      <c r="L8" s="16" t="s">
        <v>158</v>
      </c>
      <c r="M8" s="16" t="s">
        <v>157</v>
      </c>
      <c r="N8" s="17">
        <v>-0.49042454335536495</v>
      </c>
    </row>
    <row r="9" spans="1:14" ht="15">
      <c r="A9" s="12" t="s">
        <v>15</v>
      </c>
      <c r="B9" s="13" t="s">
        <v>161</v>
      </c>
      <c r="C9" s="14">
        <v>29</v>
      </c>
      <c r="D9" s="14">
        <v>165.27586364746094</v>
      </c>
      <c r="E9" s="14">
        <v>8814.4541015625</v>
      </c>
      <c r="F9" s="15">
        <v>4.6981278737864303</v>
      </c>
      <c r="G9" s="15">
        <v>10.046522546715549</v>
      </c>
      <c r="H9" s="15">
        <v>9.141483457514255</v>
      </c>
      <c r="I9" s="15">
        <v>1.0159904083995699</v>
      </c>
      <c r="J9" s="16" t="s">
        <v>160</v>
      </c>
      <c r="K9" s="16" t="s">
        <v>160</v>
      </c>
      <c r="L9" s="16" t="s">
        <v>160</v>
      </c>
      <c r="M9" s="16" t="s">
        <v>157</v>
      </c>
      <c r="N9" s="17">
        <v>0.21497097208810176</v>
      </c>
    </row>
    <row r="10" spans="1:14" ht="15">
      <c r="A10" s="12" t="s">
        <v>163</v>
      </c>
      <c r="B10" s="13"/>
      <c r="C10" s="14">
        <v>1541</v>
      </c>
      <c r="D10" s="14" t="s">
        <v>164</v>
      </c>
      <c r="E10" s="14" t="s">
        <v>164</v>
      </c>
      <c r="F10" s="15"/>
      <c r="G10" s="15"/>
      <c r="H10" s="15"/>
      <c r="I10" s="15"/>
      <c r="J10" s="16" t="s">
        <v>164</v>
      </c>
      <c r="K10" s="16" t="s">
        <v>164</v>
      </c>
      <c r="L10" s="16" t="s">
        <v>164</v>
      </c>
      <c r="M10" s="16" t="s">
        <v>164</v>
      </c>
      <c r="N10" s="17"/>
    </row>
    <row r="11" spans="1:14" ht="15">
      <c r="A11" s="12" t="s">
        <v>16</v>
      </c>
      <c r="B11" s="13" t="s">
        <v>165</v>
      </c>
      <c r="C11" s="14">
        <v>26</v>
      </c>
      <c r="D11" s="14">
        <v>165.42308044433594</v>
      </c>
      <c r="E11" s="14">
        <v>4825.46240234375</v>
      </c>
      <c r="F11" s="15">
        <v>2.8026613874842163</v>
      </c>
      <c r="G11" s="15">
        <v>7.0213245845196353</v>
      </c>
      <c r="H11" s="15">
        <v>6.2415233823875189</v>
      </c>
      <c r="I11" s="15">
        <v>0.90934494441129965</v>
      </c>
      <c r="J11" s="16" t="s">
        <v>158</v>
      </c>
      <c r="K11" s="16" t="s">
        <v>157</v>
      </c>
      <c r="L11" s="16" t="s">
        <v>158</v>
      </c>
      <c r="M11" s="16" t="s">
        <v>157</v>
      </c>
      <c r="N11" s="17">
        <v>-0.35907056796064374</v>
      </c>
    </row>
    <row r="12" spans="1:14" ht="15">
      <c r="A12" s="12" t="s">
        <v>17</v>
      </c>
      <c r="B12" s="13" t="s">
        <v>159</v>
      </c>
      <c r="C12" s="14">
        <v>36</v>
      </c>
      <c r="D12" s="14">
        <v>9.8888893127441406</v>
      </c>
      <c r="E12" s="14">
        <v>42.556400299072266</v>
      </c>
      <c r="F12" s="15">
        <v>0.92301223488983075</v>
      </c>
      <c r="G12" s="15">
        <v>2.4848386473238402</v>
      </c>
      <c r="H12" s="15">
        <v>5.6450258280945764</v>
      </c>
      <c r="I12" s="15">
        <v>-3.1601871807707367</v>
      </c>
      <c r="J12" s="16" t="s">
        <v>157</v>
      </c>
      <c r="K12" s="16" t="s">
        <v>157</v>
      </c>
      <c r="L12" s="16" t="s">
        <v>157</v>
      </c>
      <c r="M12" s="16" t="s">
        <v>157</v>
      </c>
      <c r="N12" s="17">
        <v>-0.25432528267054699</v>
      </c>
    </row>
    <row r="13" spans="1:14" ht="15">
      <c r="A13" s="12" t="s">
        <v>18</v>
      </c>
      <c r="B13" s="13" t="s">
        <v>166</v>
      </c>
      <c r="C13" s="14">
        <v>1266</v>
      </c>
      <c r="D13" s="14">
        <v>15.708530426025391</v>
      </c>
      <c r="E13" s="14">
        <v>1268.8626708984375</v>
      </c>
      <c r="F13" s="15">
        <v>1.867788869484232</v>
      </c>
      <c r="G13" s="15">
        <v>6.634061838296649</v>
      </c>
      <c r="H13" s="15">
        <v>10.503784931794794</v>
      </c>
      <c r="I13" s="15">
        <v>-1.6756503631150457</v>
      </c>
      <c r="J13" s="16" t="s">
        <v>160</v>
      </c>
      <c r="K13" s="16" t="s">
        <v>160</v>
      </c>
      <c r="L13" s="16" t="s">
        <v>157</v>
      </c>
      <c r="M13" s="16" t="s">
        <v>157</v>
      </c>
      <c r="N13" s="17">
        <v>0.18341377316037213</v>
      </c>
    </row>
    <row r="14" spans="1:14" ht="15">
      <c r="A14" s="12" t="s">
        <v>167</v>
      </c>
      <c r="B14" s="13" t="s">
        <v>168</v>
      </c>
      <c r="C14" s="14">
        <v>16</v>
      </c>
      <c r="D14" s="14">
        <v>106.125</v>
      </c>
      <c r="E14" s="14">
        <v>14324.7783203125</v>
      </c>
      <c r="F14" s="15">
        <v>9.538634779041514</v>
      </c>
      <c r="G14" s="15">
        <v>13.734309785026143</v>
      </c>
      <c r="H14" s="15">
        <v>11.645667858660715</v>
      </c>
      <c r="I14" s="15">
        <v>2.1008625523051556</v>
      </c>
      <c r="J14" s="16" t="s">
        <v>160</v>
      </c>
      <c r="K14" s="16" t="s">
        <v>160</v>
      </c>
      <c r="L14" s="16" t="s">
        <v>157</v>
      </c>
      <c r="M14" s="16" t="s">
        <v>157</v>
      </c>
      <c r="N14" s="17">
        <v>0.34508042459027682</v>
      </c>
    </row>
    <row r="15" spans="1:14" ht="15">
      <c r="A15" s="12" t="s">
        <v>19</v>
      </c>
      <c r="B15" s="13" t="s">
        <v>169</v>
      </c>
      <c r="C15" s="14">
        <v>6</v>
      </c>
      <c r="D15" s="14">
        <v>164.83332824707031</v>
      </c>
      <c r="E15" s="14">
        <v>1649.247314453125</v>
      </c>
      <c r="F15" s="15">
        <v>1.1230293539451994</v>
      </c>
      <c r="G15" s="15">
        <v>3.4527451991404647</v>
      </c>
      <c r="H15" s="15">
        <v>5.8898245531830167</v>
      </c>
      <c r="I15" s="15">
        <v>-2.3317879312062941</v>
      </c>
      <c r="J15" s="16" t="s">
        <v>158</v>
      </c>
      <c r="K15" s="16" t="s">
        <v>157</v>
      </c>
      <c r="L15" s="16" t="s">
        <v>157</v>
      </c>
      <c r="M15" s="16" t="s">
        <v>157</v>
      </c>
      <c r="N15" s="17">
        <v>-0.63365402940342919</v>
      </c>
    </row>
    <row r="16" spans="1:14" ht="15">
      <c r="A16" s="12" t="s">
        <v>20</v>
      </c>
      <c r="B16" s="13" t="s">
        <v>170</v>
      </c>
      <c r="C16" s="14">
        <v>16</v>
      </c>
      <c r="D16" s="14">
        <v>61.9375</v>
      </c>
      <c r="E16" s="14">
        <v>234.25729370117188</v>
      </c>
      <c r="F16" s="15">
        <v>1.1432706219158124</v>
      </c>
      <c r="G16" s="15">
        <v>4.3677330759732751</v>
      </c>
      <c r="H16" s="15">
        <v>6.7624299356762538</v>
      </c>
      <c r="I16" s="15">
        <v>-2.3946968597029783</v>
      </c>
      <c r="J16" s="16" t="s">
        <v>157</v>
      </c>
      <c r="K16" s="16" t="s">
        <v>157</v>
      </c>
      <c r="L16" s="16" t="s">
        <v>157</v>
      </c>
      <c r="M16" s="16" t="s">
        <v>157</v>
      </c>
      <c r="N16" s="17">
        <v>-0.57971183449280683</v>
      </c>
    </row>
    <row r="17" spans="1:14" ht="15">
      <c r="A17" s="12" t="s">
        <v>21</v>
      </c>
      <c r="B17" s="13" t="s">
        <v>159</v>
      </c>
      <c r="C17" s="14">
        <v>76</v>
      </c>
      <c r="D17" s="14">
        <v>180.84210205078125</v>
      </c>
      <c r="E17" s="14">
        <v>18872.224609375</v>
      </c>
      <c r="F17" s="15">
        <v>2.960670920202968</v>
      </c>
      <c r="G17" s="15">
        <v>8.8613390401628216</v>
      </c>
      <c r="H17" s="15">
        <v>9.0099981603392436</v>
      </c>
      <c r="I17" s="15">
        <v>0.27209756256593087</v>
      </c>
      <c r="J17" s="16" t="s">
        <v>160</v>
      </c>
      <c r="K17" s="16" t="s">
        <v>160</v>
      </c>
      <c r="L17" s="16" t="s">
        <v>160</v>
      </c>
      <c r="M17" s="16" t="s">
        <v>157</v>
      </c>
      <c r="N17" s="17">
        <v>0.131743406957752</v>
      </c>
    </row>
    <row r="18" spans="1:14" ht="15">
      <c r="A18" s="12" t="s">
        <v>22</v>
      </c>
      <c r="B18" s="13" t="s">
        <v>159</v>
      </c>
      <c r="C18" s="14">
        <v>57</v>
      </c>
      <c r="D18" s="14">
        <v>105.87718963623047</v>
      </c>
      <c r="E18" s="14">
        <v>3364.896484375</v>
      </c>
      <c r="F18" s="15">
        <v>2.8545223000264253</v>
      </c>
      <c r="G18" s="15">
        <v>7.8530258467839653</v>
      </c>
      <c r="H18" s="15">
        <v>7.5013618109653954</v>
      </c>
      <c r="I18" s="15">
        <v>0.83844064782139527</v>
      </c>
      <c r="J18" s="16" t="s">
        <v>160</v>
      </c>
      <c r="K18" s="16" t="s">
        <v>158</v>
      </c>
      <c r="L18" s="16" t="s">
        <v>158</v>
      </c>
      <c r="M18" s="16" t="s">
        <v>157</v>
      </c>
      <c r="N18" s="17">
        <v>8.113175986152828E-3</v>
      </c>
    </row>
    <row r="19" spans="1:14" ht="15">
      <c r="A19" s="12" t="s">
        <v>23</v>
      </c>
      <c r="B19" s="13" t="s">
        <v>156</v>
      </c>
      <c r="C19" s="14">
        <v>39</v>
      </c>
      <c r="D19" s="14">
        <v>213.25640869140625</v>
      </c>
      <c r="E19" s="14">
        <v>39367.05078125</v>
      </c>
      <c r="F19" s="15">
        <v>5.5183192460771169</v>
      </c>
      <c r="G19" s="15">
        <v>12.436330853795718</v>
      </c>
      <c r="H19" s="15">
        <v>12.013817699786458</v>
      </c>
      <c r="I19" s="15">
        <v>0.74906941529374971</v>
      </c>
      <c r="J19" s="16" t="s">
        <v>158</v>
      </c>
      <c r="K19" s="16" t="s">
        <v>171</v>
      </c>
      <c r="L19" s="16" t="s">
        <v>160</v>
      </c>
      <c r="M19" s="16" t="s">
        <v>157</v>
      </c>
      <c r="N19" s="17">
        <v>-0.15387608910574141</v>
      </c>
    </row>
    <row r="20" spans="1:14" ht="15">
      <c r="A20" s="12" t="s">
        <v>24</v>
      </c>
      <c r="B20" s="13" t="s">
        <v>156</v>
      </c>
      <c r="C20" s="14">
        <v>22</v>
      </c>
      <c r="D20" s="14">
        <v>207.81817626953125</v>
      </c>
      <c r="E20" s="14">
        <v>23389.337890625</v>
      </c>
      <c r="F20" s="15">
        <v>9.2889663380365608</v>
      </c>
      <c r="G20" s="15">
        <v>15.829707658160164</v>
      </c>
      <c r="H20" s="15">
        <v>14.803726305386748</v>
      </c>
      <c r="I20" s="15">
        <v>1.5217271909835948</v>
      </c>
      <c r="J20" s="16" t="s">
        <v>158</v>
      </c>
      <c r="K20" s="16" t="s">
        <v>158</v>
      </c>
      <c r="L20" s="16" t="s">
        <v>158</v>
      </c>
      <c r="M20" s="16" t="s">
        <v>157</v>
      </c>
      <c r="N20" s="17">
        <v>-3.8756562023735175E-2</v>
      </c>
    </row>
    <row r="21" spans="1:14" ht="15">
      <c r="A21" s="12" t="s">
        <v>25</v>
      </c>
      <c r="B21" s="13" t="s">
        <v>181</v>
      </c>
      <c r="C21" s="14">
        <v>19</v>
      </c>
      <c r="D21" s="14">
        <v>211.3157958984375</v>
      </c>
      <c r="E21" s="14">
        <v>14604.888671875</v>
      </c>
      <c r="F21" s="15">
        <v>4.5765802616298998</v>
      </c>
      <c r="G21" s="15">
        <v>10.965156976916722</v>
      </c>
      <c r="H21" s="15">
        <v>10.505855801212032</v>
      </c>
      <c r="I21" s="15">
        <v>0.80814126727087499</v>
      </c>
      <c r="J21" s="16" t="s">
        <v>157</v>
      </c>
      <c r="K21" s="16" t="s">
        <v>157</v>
      </c>
      <c r="L21" s="16" t="s">
        <v>157</v>
      </c>
      <c r="M21" s="16" t="s">
        <v>157</v>
      </c>
      <c r="N21" s="17">
        <v>-0.4866698407464195</v>
      </c>
    </row>
    <row r="22" spans="1:14" ht="15">
      <c r="A22" s="12" t="s">
        <v>26</v>
      </c>
      <c r="B22" s="13" t="s">
        <v>161</v>
      </c>
      <c r="C22" s="14">
        <v>22</v>
      </c>
      <c r="D22" s="14">
        <v>176.45454406738281</v>
      </c>
      <c r="E22" s="14">
        <v>8194.7998046875</v>
      </c>
      <c r="F22" s="15">
        <v>4.2676268612921051</v>
      </c>
      <c r="G22" s="15">
        <v>11.082507206272133</v>
      </c>
      <c r="H22" s="15">
        <v>10.591155896433044</v>
      </c>
      <c r="I22" s="15">
        <v>1.2488934151983511</v>
      </c>
      <c r="J22" s="16" t="s">
        <v>158</v>
      </c>
      <c r="K22" s="16" t="s">
        <v>160</v>
      </c>
      <c r="L22" s="16" t="s">
        <v>171</v>
      </c>
      <c r="M22" s="16" t="s">
        <v>157</v>
      </c>
      <c r="N22" s="17">
        <v>-0.17561549033499657</v>
      </c>
    </row>
    <row r="23" spans="1:14" ht="15">
      <c r="A23" s="12" t="s">
        <v>27</v>
      </c>
      <c r="B23" s="13" t="s">
        <v>161</v>
      </c>
      <c r="C23" s="14">
        <v>8</v>
      </c>
      <c r="D23" s="14">
        <v>82.375</v>
      </c>
      <c r="E23" s="14">
        <v>540.14068603515625</v>
      </c>
      <c r="F23" s="15">
        <v>3.4563916097800402</v>
      </c>
      <c r="G23" s="15">
        <v>10.584604346240233</v>
      </c>
      <c r="H23" s="15">
        <v>10.649640872863515</v>
      </c>
      <c r="I23" s="15">
        <v>0.11322887021030505</v>
      </c>
      <c r="J23" s="16" t="s">
        <v>157</v>
      </c>
      <c r="K23" s="16" t="s">
        <v>157</v>
      </c>
      <c r="L23" s="16" t="s">
        <v>157</v>
      </c>
      <c r="M23" s="16" t="s">
        <v>157</v>
      </c>
      <c r="N23" s="17">
        <v>-0.56311783581200281</v>
      </c>
    </row>
    <row r="24" spans="1:14" ht="15">
      <c r="A24" s="12" t="s">
        <v>173</v>
      </c>
      <c r="B24" s="13" t="s">
        <v>123</v>
      </c>
      <c r="C24" s="14">
        <v>27</v>
      </c>
      <c r="D24" s="14">
        <v>62.592594146728516</v>
      </c>
      <c r="E24" s="14">
        <v>351956.65625</v>
      </c>
      <c r="F24" s="15">
        <v>42.88420142899426</v>
      </c>
      <c r="G24" s="15">
        <v>36.557891909113422</v>
      </c>
      <c r="H24" s="15">
        <v>19.459617751161687</v>
      </c>
      <c r="I24" s="15">
        <v>17.108185160431589</v>
      </c>
      <c r="J24" s="16" t="s">
        <v>160</v>
      </c>
      <c r="K24" s="16" t="s">
        <v>157</v>
      </c>
      <c r="L24" s="16" t="s">
        <v>157</v>
      </c>
      <c r="M24" s="16" t="s">
        <v>157</v>
      </c>
      <c r="N24" s="17">
        <v>0.28112879110231226</v>
      </c>
    </row>
    <row r="25" spans="1:14" ht="15">
      <c r="A25" s="12" t="s">
        <v>28</v>
      </c>
      <c r="B25" s="13" t="s">
        <v>166</v>
      </c>
      <c r="C25" s="14">
        <v>162</v>
      </c>
      <c r="D25" s="14">
        <v>134.6419677734375</v>
      </c>
      <c r="E25" s="14">
        <v>8960.46875</v>
      </c>
      <c r="F25" s="15">
        <v>2.7110035022885022</v>
      </c>
      <c r="G25" s="15">
        <v>9.0078469221244912</v>
      </c>
      <c r="H25" s="15">
        <v>6.5772237365517237</v>
      </c>
      <c r="I25" s="15">
        <v>2.8190559301651694</v>
      </c>
      <c r="J25" s="16" t="s">
        <v>158</v>
      </c>
      <c r="K25" s="16" t="s">
        <v>160</v>
      </c>
      <c r="L25" s="16" t="s">
        <v>160</v>
      </c>
      <c r="M25" s="16" t="s">
        <v>157</v>
      </c>
      <c r="N25" s="17">
        <v>-8.0111149476961449E-2</v>
      </c>
    </row>
    <row r="26" spans="1:14" ht="15">
      <c r="A26" s="12" t="s">
        <v>29</v>
      </c>
      <c r="B26" s="13" t="s">
        <v>174</v>
      </c>
      <c r="C26" s="14">
        <v>101</v>
      </c>
      <c r="D26" s="14">
        <v>170.98019409179688</v>
      </c>
      <c r="E26" s="14">
        <v>17904.19921875</v>
      </c>
      <c r="F26" s="15">
        <v>4.0218295742310826</v>
      </c>
      <c r="G26" s="15">
        <v>12.096000090750728</v>
      </c>
      <c r="H26" s="15">
        <v>10.344739018984626</v>
      </c>
      <c r="I26" s="15">
        <v>2.0148008765953165</v>
      </c>
      <c r="J26" s="16" t="s">
        <v>158</v>
      </c>
      <c r="K26" s="16" t="s">
        <v>160</v>
      </c>
      <c r="L26" s="16" t="s">
        <v>160</v>
      </c>
      <c r="M26" s="16" t="s">
        <v>157</v>
      </c>
      <c r="N26" s="17">
        <v>-0.28710461570556006</v>
      </c>
    </row>
    <row r="27" spans="1:14" ht="15">
      <c r="A27" s="12" t="s">
        <v>30</v>
      </c>
      <c r="B27" s="13" t="s">
        <v>175</v>
      </c>
      <c r="C27" s="14">
        <v>22</v>
      </c>
      <c r="D27" s="14">
        <v>221.22727966308594</v>
      </c>
      <c r="E27" s="14">
        <v>7011.2685546875</v>
      </c>
      <c r="F27" s="15">
        <v>2.2147022736879847</v>
      </c>
      <c r="G27" s="15">
        <v>9.9449968961577184</v>
      </c>
      <c r="H27" s="15">
        <v>9.3462038819907978</v>
      </c>
      <c r="I27" s="15">
        <v>0.59879301416691999</v>
      </c>
      <c r="J27" s="16" t="s">
        <v>171</v>
      </c>
      <c r="K27" s="16" t="s">
        <v>160</v>
      </c>
      <c r="L27" s="16" t="s">
        <v>160</v>
      </c>
      <c r="M27" s="16" t="s">
        <v>157</v>
      </c>
      <c r="N27" s="17">
        <v>1.736106801058029E-2</v>
      </c>
    </row>
    <row r="28" spans="1:14" ht="15">
      <c r="A28" s="12" t="s">
        <v>31</v>
      </c>
      <c r="B28" s="13" t="s">
        <v>175</v>
      </c>
      <c r="C28" s="14">
        <v>22</v>
      </c>
      <c r="D28" s="14">
        <v>217.72727966308594</v>
      </c>
      <c r="E28" s="14">
        <v>4061.44091796875</v>
      </c>
      <c r="F28" s="15">
        <v>3.874285851144089</v>
      </c>
      <c r="G28" s="15">
        <v>16.93077031476296</v>
      </c>
      <c r="H28" s="15">
        <v>14.613250780978385</v>
      </c>
      <c r="I28" s="15">
        <v>2.3175195337845751</v>
      </c>
      <c r="J28" s="16" t="s">
        <v>158</v>
      </c>
      <c r="K28" s="16" t="s">
        <v>160</v>
      </c>
      <c r="L28" s="16" t="s">
        <v>160</v>
      </c>
      <c r="M28" s="16" t="s">
        <v>157</v>
      </c>
      <c r="N28" s="17">
        <v>-0.10871368386786477</v>
      </c>
    </row>
    <row r="29" spans="1:14" ht="15">
      <c r="A29" s="12" t="s">
        <v>32</v>
      </c>
      <c r="B29" s="13" t="s">
        <v>176</v>
      </c>
      <c r="C29" s="14">
        <v>64</v>
      </c>
      <c r="D29" s="14">
        <v>167.671875</v>
      </c>
      <c r="E29" s="14">
        <v>21730.796875</v>
      </c>
      <c r="F29" s="15">
        <v>4.7921588942669748</v>
      </c>
      <c r="G29" s="15">
        <v>8.792740884260926</v>
      </c>
      <c r="H29" s="15">
        <v>7.8632420751448224</v>
      </c>
      <c r="I29" s="15">
        <v>1.0250924160305841</v>
      </c>
      <c r="J29" s="16" t="s">
        <v>157</v>
      </c>
      <c r="K29" s="16" t="s">
        <v>160</v>
      </c>
      <c r="L29" s="16" t="s">
        <v>160</v>
      </c>
      <c r="M29" s="16" t="s">
        <v>157</v>
      </c>
      <c r="N29" s="17">
        <v>-9.3691685883400155E-2</v>
      </c>
    </row>
    <row r="30" spans="1:14" ht="15">
      <c r="A30" s="12" t="s">
        <v>33</v>
      </c>
      <c r="B30" s="13" t="s">
        <v>176</v>
      </c>
      <c r="C30" s="14">
        <v>165</v>
      </c>
      <c r="D30" s="14">
        <v>92.49090576171875</v>
      </c>
      <c r="E30" s="14">
        <v>15902.3466796875</v>
      </c>
      <c r="F30" s="15">
        <v>6.8222892776522528</v>
      </c>
      <c r="G30" s="15">
        <v>14.717849184516336</v>
      </c>
      <c r="H30" s="15">
        <v>14.093818244284599</v>
      </c>
      <c r="I30" s="15">
        <v>0.98668950649991649</v>
      </c>
      <c r="J30" s="16" t="s">
        <v>171</v>
      </c>
      <c r="K30" s="16" t="s">
        <v>160</v>
      </c>
      <c r="L30" s="16" t="s">
        <v>160</v>
      </c>
      <c r="M30" s="16" t="s">
        <v>157</v>
      </c>
      <c r="N30" s="17">
        <v>-0.12402818162181657</v>
      </c>
    </row>
    <row r="31" spans="1:14" ht="15">
      <c r="A31" s="12" t="s">
        <v>34</v>
      </c>
      <c r="B31" s="13" t="s">
        <v>159</v>
      </c>
      <c r="C31" s="14">
        <v>175</v>
      </c>
      <c r="D31" s="14">
        <v>73.508567810058594</v>
      </c>
      <c r="E31" s="14">
        <v>4690.681640625</v>
      </c>
      <c r="F31" s="15">
        <v>2.9566187271922502</v>
      </c>
      <c r="G31" s="15">
        <v>9.4467902211098789</v>
      </c>
      <c r="H31" s="15">
        <v>8.5094252552135803</v>
      </c>
      <c r="I31" s="15">
        <v>1.2457574636958419</v>
      </c>
      <c r="J31" s="16" t="s">
        <v>160</v>
      </c>
      <c r="K31" s="16" t="s">
        <v>160</v>
      </c>
      <c r="L31" s="16" t="s">
        <v>160</v>
      </c>
      <c r="M31" s="16" t="s">
        <v>157</v>
      </c>
      <c r="N31" s="17">
        <v>0.11985236127571491</v>
      </c>
    </row>
    <row r="32" spans="1:14" ht="15">
      <c r="A32" s="12" t="s">
        <v>35</v>
      </c>
      <c r="B32" s="13" t="s">
        <v>175</v>
      </c>
      <c r="C32" s="14">
        <v>201</v>
      </c>
      <c r="D32" s="14">
        <v>55.338310241699219</v>
      </c>
      <c r="E32" s="14">
        <v>1971.3834228515625</v>
      </c>
      <c r="F32" s="15">
        <v>2.2498956852932457</v>
      </c>
      <c r="G32" s="15">
        <v>9.6135761683611189</v>
      </c>
      <c r="H32" s="15">
        <v>6.8357770402033564</v>
      </c>
      <c r="I32" s="15">
        <v>2.9471200061112741</v>
      </c>
      <c r="J32" s="16" t="s">
        <v>160</v>
      </c>
      <c r="K32" s="16" t="s">
        <v>160</v>
      </c>
      <c r="L32" s="16" t="s">
        <v>160</v>
      </c>
      <c r="M32" s="16" t="s">
        <v>157</v>
      </c>
      <c r="N32" s="17">
        <v>-0.15932057887086301</v>
      </c>
    </row>
    <row r="33" spans="1:14" ht="15">
      <c r="A33" s="12" t="s">
        <v>36</v>
      </c>
      <c r="B33" s="13" t="s">
        <v>166</v>
      </c>
      <c r="C33" s="14">
        <v>1066</v>
      </c>
      <c r="D33" s="14">
        <v>76.07598876953125</v>
      </c>
      <c r="E33" s="14">
        <v>18358.26171875</v>
      </c>
      <c r="F33" s="15">
        <v>2.5595402198670487</v>
      </c>
      <c r="G33" s="15">
        <v>10.80413724977652</v>
      </c>
      <c r="H33" s="15">
        <v>8.1712277451123683</v>
      </c>
      <c r="I33" s="15">
        <v>3.1625356627557677</v>
      </c>
      <c r="J33" s="16" t="s">
        <v>160</v>
      </c>
      <c r="K33" s="16" t="s">
        <v>160</v>
      </c>
      <c r="L33" s="16" t="s">
        <v>160</v>
      </c>
      <c r="M33" s="16" t="s">
        <v>157</v>
      </c>
      <c r="N33" s="17">
        <v>-8.543499662000438E-2</v>
      </c>
    </row>
    <row r="34" spans="1:14" ht="15">
      <c r="A34" s="12" t="s">
        <v>37</v>
      </c>
      <c r="B34" s="13" t="s">
        <v>182</v>
      </c>
      <c r="C34" s="14">
        <v>228</v>
      </c>
      <c r="D34" s="14">
        <v>54.416667938232422</v>
      </c>
      <c r="E34" s="14">
        <v>2149.0087890625</v>
      </c>
      <c r="F34" s="15">
        <v>2.9460554767619422</v>
      </c>
      <c r="G34" s="15">
        <v>13.432870194258349</v>
      </c>
      <c r="H34" s="15">
        <v>8.5078269516738416</v>
      </c>
      <c r="I34" s="15">
        <v>5.0564643953299004</v>
      </c>
      <c r="J34" s="16" t="s">
        <v>160</v>
      </c>
      <c r="K34" s="16" t="s">
        <v>160</v>
      </c>
      <c r="L34" s="16" t="s">
        <v>160</v>
      </c>
      <c r="M34" s="16" t="s">
        <v>160</v>
      </c>
      <c r="N34" s="17">
        <v>0.13591599994827999</v>
      </c>
    </row>
    <row r="35" spans="1:14" ht="15">
      <c r="A35" s="12" t="s">
        <v>38</v>
      </c>
      <c r="B35" s="13" t="s">
        <v>159</v>
      </c>
      <c r="C35" s="14">
        <v>29</v>
      </c>
      <c r="D35" s="14">
        <v>156.68965148925781</v>
      </c>
      <c r="E35" s="14">
        <v>3253.6318359375</v>
      </c>
      <c r="F35" s="15">
        <v>2.2574491011319187</v>
      </c>
      <c r="G35" s="15">
        <v>6.9397477105591925</v>
      </c>
      <c r="H35" s="15">
        <v>7.2963592949351517</v>
      </c>
      <c r="I35" s="15">
        <v>0.10126946412760741</v>
      </c>
      <c r="J35" s="16" t="s">
        <v>158</v>
      </c>
      <c r="K35" s="16" t="s">
        <v>158</v>
      </c>
      <c r="L35" s="16" t="s">
        <v>160</v>
      </c>
      <c r="M35" s="16" t="s">
        <v>157</v>
      </c>
      <c r="N35" s="17">
        <v>-0.11755259743239817</v>
      </c>
    </row>
    <row r="36" spans="1:14" ht="15">
      <c r="A36" s="12" t="s">
        <v>39</v>
      </c>
      <c r="B36" s="13" t="s">
        <v>159</v>
      </c>
      <c r="C36" s="14">
        <v>51</v>
      </c>
      <c r="D36" s="14">
        <v>129.313720703125</v>
      </c>
      <c r="E36" s="14">
        <v>3105.962646484375</v>
      </c>
      <c r="F36" s="15">
        <v>2.6672025080733066</v>
      </c>
      <c r="G36" s="15">
        <v>8.5722647437229309</v>
      </c>
      <c r="H36" s="15">
        <v>8.91612946377745</v>
      </c>
      <c r="I36" s="15">
        <v>-4.6217477424551699E-2</v>
      </c>
      <c r="J36" s="16" t="s">
        <v>160</v>
      </c>
      <c r="K36" s="16" t="s">
        <v>158</v>
      </c>
      <c r="L36" s="16" t="s">
        <v>160</v>
      </c>
      <c r="M36" s="16" t="s">
        <v>157</v>
      </c>
      <c r="N36" s="17">
        <v>7.4443057050498279E-2</v>
      </c>
    </row>
  </sheetData>
  <mergeCells count="1">
    <mergeCell ref="M1:N1"/>
  </mergeCells>
  <hyperlinks>
    <hyperlink ref="M1:N1" location="Home_page" display="Back to_x000a_home page" xr:uid="{F84D3D5B-8164-4141-A922-9A781C977A4B}"/>
  </hyperlinks>
  <pageMargins left="0.7" right="0.7" top="0.75" bottom="0.75" header="0.3" footer="0.3"/>
  <pageSetup paperSize="9" scale="74"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E5597-8593-4C34-9E0F-CA4E4F95DB56}">
  <sheetPr codeName="Feuil6">
    <pageSetUpPr fitToPage="1"/>
  </sheetPr>
  <dimension ref="A1:S193"/>
  <sheetViews>
    <sheetView topLeftCell="A16"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10</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5</v>
      </c>
      <c r="E3" s="28">
        <v>5</v>
      </c>
      <c r="F3" s="28">
        <v>9</v>
      </c>
      <c r="G3" s="28">
        <v>12</v>
      </c>
      <c r="H3" s="28">
        <v>15</v>
      </c>
      <c r="I3" s="28">
        <v>13</v>
      </c>
      <c r="J3" s="28">
        <v>10</v>
      </c>
      <c r="K3" s="28">
        <v>10</v>
      </c>
      <c r="L3" s="28">
        <v>7</v>
      </c>
      <c r="M3" s="28">
        <v>7</v>
      </c>
      <c r="N3" s="28">
        <v>7</v>
      </c>
      <c r="O3" s="29">
        <f t="shared" ref="O3:O42" si="0">IF(N3=0,"",IFERROR(IF(AND(N3&gt;0,D3&lt;0),"na",IF(AND(N3&lt;0,D3&lt;0),-1,1)*(N3-D3)/D3),""))</f>
        <v>0.4</v>
      </c>
      <c r="P3" s="29">
        <f t="shared" ref="P3:P42" si="1">IF(N3=0,"",IFERROR(IF(AND(N3&gt;0,J3&lt;0),"na",IF(AND(N3&lt;0,J3&lt;0),-1,1)*(N3-J3)/J3),""))</f>
        <v>-0.3</v>
      </c>
    </row>
    <row r="4" spans="1:17" ht="18" customHeight="1">
      <c r="A4" s="185"/>
      <c r="B4" s="30" t="s">
        <v>190</v>
      </c>
      <c r="C4" s="31"/>
      <c r="D4" s="31">
        <v>962</v>
      </c>
      <c r="E4" s="31">
        <v>824</v>
      </c>
      <c r="F4" s="31">
        <v>1780</v>
      </c>
      <c r="G4" s="31">
        <v>2392</v>
      </c>
      <c r="H4" s="31">
        <v>3116</v>
      </c>
      <c r="I4" s="31">
        <v>4032</v>
      </c>
      <c r="J4" s="31">
        <v>2943</v>
      </c>
      <c r="K4" s="31">
        <v>3019</v>
      </c>
      <c r="L4" s="31">
        <v>2189</v>
      </c>
      <c r="M4" s="31">
        <v>2403</v>
      </c>
      <c r="N4" s="31">
        <v>2293</v>
      </c>
      <c r="O4" s="29">
        <f t="shared" si="0"/>
        <v>1.3835758835758836</v>
      </c>
      <c r="P4" s="29">
        <f t="shared" si="1"/>
        <v>-0.22086306489976215</v>
      </c>
    </row>
    <row r="5" spans="1:17" ht="18" customHeight="1">
      <c r="A5" s="185"/>
      <c r="B5" s="30" t="s">
        <v>191</v>
      </c>
      <c r="C5" s="31"/>
      <c r="D5" s="31">
        <v>222</v>
      </c>
      <c r="E5" s="31">
        <v>124</v>
      </c>
      <c r="F5" s="31">
        <v>445</v>
      </c>
      <c r="G5" s="31">
        <v>559</v>
      </c>
      <c r="H5" s="31">
        <v>742</v>
      </c>
      <c r="I5" s="31">
        <v>1263</v>
      </c>
      <c r="J5" s="31">
        <v>984</v>
      </c>
      <c r="K5" s="31">
        <v>938</v>
      </c>
      <c r="L5" s="31">
        <v>654</v>
      </c>
      <c r="M5" s="31">
        <v>717</v>
      </c>
      <c r="N5" s="31">
        <v>701</v>
      </c>
      <c r="O5" s="29">
        <f t="shared" si="0"/>
        <v>2.1576576576576576</v>
      </c>
      <c r="P5" s="29">
        <f t="shared" si="1"/>
        <v>-0.28760162601626016</v>
      </c>
      <c r="Q5" s="32"/>
    </row>
    <row r="6" spans="1:17" ht="18" customHeight="1">
      <c r="A6" s="185"/>
      <c r="B6" s="30" t="s">
        <v>192</v>
      </c>
      <c r="C6" s="31"/>
      <c r="D6" s="31">
        <v>812.86492919921875</v>
      </c>
      <c r="E6" s="31">
        <v>655.4130859375</v>
      </c>
      <c r="F6" s="31">
        <v>1545.7847900390625</v>
      </c>
      <c r="G6" s="31">
        <v>2021.1688232421875</v>
      </c>
      <c r="H6" s="31">
        <v>2644.4755859375</v>
      </c>
      <c r="I6" s="31">
        <v>3253.95361328125</v>
      </c>
      <c r="J6" s="31">
        <v>2410.098388671875</v>
      </c>
      <c r="K6" s="31">
        <v>2382.737548828125</v>
      </c>
      <c r="L6" s="31">
        <v>1732.0889892578125</v>
      </c>
      <c r="M6" s="31">
        <v>1919.3470458984375</v>
      </c>
      <c r="N6" s="31">
        <v>1828.802001953125</v>
      </c>
      <c r="O6" s="29">
        <f t="shared" si="0"/>
        <v>1.2498227396213795</v>
      </c>
      <c r="P6" s="29">
        <f t="shared" si="1"/>
        <v>-0.24119197351070928</v>
      </c>
    </row>
    <row r="7" spans="1:17" ht="18" customHeight="1">
      <c r="A7" s="185"/>
      <c r="B7" s="30" t="s">
        <v>193</v>
      </c>
      <c r="C7" s="31"/>
      <c r="D7" s="31">
        <v>807.88848876953125</v>
      </c>
      <c r="E7" s="31">
        <v>474.81341552734375</v>
      </c>
      <c r="F7" s="31">
        <v>1007.833984375</v>
      </c>
      <c r="G7" s="31">
        <v>1027.6947021484375</v>
      </c>
      <c r="H7" s="31">
        <v>1499.262939453125</v>
      </c>
      <c r="I7" s="31">
        <v>1991.716552734375</v>
      </c>
      <c r="J7" s="31">
        <v>1982.2061767578125</v>
      </c>
      <c r="K7" s="31">
        <v>1907.5430908203125</v>
      </c>
      <c r="L7" s="31">
        <v>724.5247802734375</v>
      </c>
      <c r="M7" s="31">
        <v>1380.8668212890625</v>
      </c>
      <c r="N7" s="31">
        <v>1160.3609619140625</v>
      </c>
      <c r="O7" s="29">
        <f t="shared" si="0"/>
        <v>0.43628852006713281</v>
      </c>
      <c r="P7" s="29">
        <f t="shared" si="1"/>
        <v>-0.41461136812114963</v>
      </c>
    </row>
    <row r="8" spans="1:17" ht="18" customHeight="1">
      <c r="A8" s="185"/>
      <c r="B8" s="30" t="s">
        <v>194</v>
      </c>
      <c r="C8" s="33"/>
      <c r="D8" s="33">
        <f ca="1">0.7810150625*OFFSET(D$113,MATCH($N$1,$C$113:$C$114,0)-1,0)</f>
        <v>0.78101506249999997</v>
      </c>
      <c r="E8" s="33">
        <f ca="1">0.6925116875*OFFSET(E$113,MATCH($N$1,$C$113:$C$114,0)-1,0)</f>
        <v>0.69251168750000003</v>
      </c>
      <c r="F8" s="33">
        <f ca="1">2.06699775*OFFSET(F$113,MATCH($N$1,$C$113:$C$114,0)-1,0)</f>
        <v>2.0669977500000001</v>
      </c>
      <c r="G8" s="33">
        <f ca="1">1.89565025*OFFSET(G$113,MATCH($N$1,$C$113:$C$114,0)-1,0)</f>
        <v>1.8956502500000001</v>
      </c>
      <c r="H8" s="33">
        <f ca="1">3.53875175*OFFSET(H$113,MATCH($N$1,$C$113:$C$114,0)-1,0)</f>
        <v>3.5387517499999999</v>
      </c>
      <c r="I8" s="33">
        <f ca="1">4.804033*OFFSET(I$113,MATCH($N$1,$C$113:$C$114,0)-1,0)</f>
        <v>4.8040330000000004</v>
      </c>
      <c r="J8" s="33">
        <f ca="1">3.90169525*OFFSET(J$113,MATCH($N$1,$C$113:$C$114,0)-1,0)</f>
        <v>3.9016952499999999</v>
      </c>
      <c r="K8" s="33">
        <f ca="1">4.15203575*OFFSET(K$113,MATCH($N$1,$C$113:$C$114,0)-1,0)</f>
        <v>4.1520357499999996</v>
      </c>
      <c r="L8" s="33">
        <f ca="1">1.222540625*OFFSET(L$113,MATCH($N$1,$C$113:$C$114,0)-1,0)</f>
        <v>1.2225406249999999</v>
      </c>
      <c r="M8" s="33">
        <f ca="1">2.11441575*OFFSET(M$113,MATCH($N$1,$C$113:$C$114,0)-1,0)</f>
        <v>2.11441575</v>
      </c>
      <c r="N8" s="33">
        <v>1.5877512499999999</v>
      </c>
      <c r="O8" s="29">
        <f t="shared" ca="1" si="0"/>
        <v>1.0329329435947978</v>
      </c>
      <c r="P8" s="29">
        <f t="shared" ca="1" si="1"/>
        <v>-0.59306118282815667</v>
      </c>
    </row>
    <row r="9" spans="1:17" ht="18" customHeight="1">
      <c r="A9" s="185"/>
      <c r="B9" s="30" t="s">
        <v>195</v>
      </c>
      <c r="C9" s="31"/>
      <c r="D9" s="31">
        <v>520</v>
      </c>
      <c r="E9" s="31">
        <v>570</v>
      </c>
      <c r="F9" s="31">
        <v>1179</v>
      </c>
      <c r="G9" s="31">
        <v>1185</v>
      </c>
      <c r="H9" s="31">
        <v>1925</v>
      </c>
      <c r="I9" s="31">
        <v>1863</v>
      </c>
      <c r="J9" s="31">
        <v>1303</v>
      </c>
      <c r="K9" s="31">
        <v>1423</v>
      </c>
      <c r="L9" s="31">
        <v>738</v>
      </c>
      <c r="M9" s="31">
        <v>1249</v>
      </c>
      <c r="N9" s="31">
        <v>772</v>
      </c>
      <c r="O9" s="29">
        <f t="shared" si="0"/>
        <v>0.48461538461538461</v>
      </c>
      <c r="P9" s="29">
        <f t="shared" si="1"/>
        <v>-0.40752110514198003</v>
      </c>
    </row>
    <row r="10" spans="1:17" ht="18" customHeight="1">
      <c r="A10" s="185"/>
      <c r="B10" s="30" t="s">
        <v>196</v>
      </c>
      <c r="C10" s="31"/>
      <c r="D10" s="31">
        <v>291</v>
      </c>
      <c r="E10" s="31">
        <v>285</v>
      </c>
      <c r="F10" s="31">
        <v>703</v>
      </c>
      <c r="G10" s="31">
        <v>709.25</v>
      </c>
      <c r="H10" s="31">
        <v>1211.25</v>
      </c>
      <c r="I10" s="31">
        <v>1431.25</v>
      </c>
      <c r="J10" s="31">
        <v>1099.25</v>
      </c>
      <c r="K10" s="31">
        <v>1174</v>
      </c>
      <c r="L10" s="31">
        <v>650.25</v>
      </c>
      <c r="M10" s="31">
        <v>1031</v>
      </c>
      <c r="N10" s="31">
        <v>621.25</v>
      </c>
      <c r="O10" s="29">
        <f t="shared" si="0"/>
        <v>1.1348797250859106</v>
      </c>
      <c r="P10" s="29">
        <f t="shared" si="1"/>
        <v>-0.43484193768478507</v>
      </c>
    </row>
    <row r="11" spans="1:17" ht="18" customHeight="1">
      <c r="A11" s="185"/>
      <c r="B11" s="30" t="s">
        <v>197</v>
      </c>
      <c r="C11" s="31"/>
      <c r="D11" s="31">
        <v>6.3193340301513672</v>
      </c>
      <c r="E11" s="31">
        <v>8.6936979293823242</v>
      </c>
      <c r="F11" s="31">
        <v>27.530540466308594</v>
      </c>
      <c r="G11" s="31">
        <v>19.400463104248047</v>
      </c>
      <c r="H11" s="31">
        <v>62.529689788818359</v>
      </c>
      <c r="I11" s="31">
        <v>63.224010467529297</v>
      </c>
      <c r="J11" s="31">
        <v>30.126260757446289</v>
      </c>
      <c r="K11" s="31">
        <v>30.373172760009766</v>
      </c>
      <c r="L11" s="31">
        <v>18.759963989257813</v>
      </c>
      <c r="M11" s="31">
        <v>42.565521240234375</v>
      </c>
      <c r="N11" s="31">
        <v>28.595197677612305</v>
      </c>
      <c r="O11" s="34">
        <f t="shared" si="0"/>
        <v>3.5250334198471487</v>
      </c>
      <c r="P11" s="34">
        <f t="shared" si="1"/>
        <v>-5.0821543774082635E-2</v>
      </c>
    </row>
    <row r="12" spans="1:17" ht="18" customHeight="1">
      <c r="A12" s="186" t="s">
        <v>198</v>
      </c>
      <c r="B12" s="35" t="s">
        <v>199</v>
      </c>
      <c r="C12" s="36"/>
      <c r="D12" s="36">
        <v>14.800000190734863</v>
      </c>
      <c r="E12" s="36">
        <v>12.283999443054199</v>
      </c>
      <c r="F12" s="36">
        <v>15.304444313049316</v>
      </c>
      <c r="G12" s="36">
        <v>14.946666717529297</v>
      </c>
      <c r="H12" s="36">
        <v>15.251333236694336</v>
      </c>
      <c r="I12" s="36">
        <v>18.069231033325195</v>
      </c>
      <c r="J12" s="36">
        <v>17.746000289916992</v>
      </c>
      <c r="K12" s="36">
        <v>16.992000579833984</v>
      </c>
      <c r="L12" s="36">
        <v>17.658571243286133</v>
      </c>
      <c r="M12" s="36">
        <v>19.122856140136719</v>
      </c>
      <c r="N12" s="36">
        <v>18.347143173217773</v>
      </c>
      <c r="O12" s="29">
        <f t="shared" si="0"/>
        <v>0.2396718200519688</v>
      </c>
      <c r="P12" s="29">
        <f t="shared" si="1"/>
        <v>3.3874837906000793E-2</v>
      </c>
    </row>
    <row r="13" spans="1:17" ht="18" customHeight="1">
      <c r="A13" s="187"/>
      <c r="B13" s="37" t="s">
        <v>190</v>
      </c>
      <c r="C13" s="31"/>
      <c r="D13" s="31">
        <v>192.39999389648438</v>
      </c>
      <c r="E13" s="31">
        <v>164.80000305175781</v>
      </c>
      <c r="F13" s="31">
        <v>197.77777099609375</v>
      </c>
      <c r="G13" s="31">
        <v>199.33332824707031</v>
      </c>
      <c r="H13" s="31">
        <v>207.73333740234375</v>
      </c>
      <c r="I13" s="31">
        <v>310.15383911132813</v>
      </c>
      <c r="J13" s="31">
        <v>294.29998779296875</v>
      </c>
      <c r="K13" s="31">
        <v>301.89999389648438</v>
      </c>
      <c r="L13" s="31">
        <v>312.71429443359375</v>
      </c>
      <c r="M13" s="31">
        <v>343.28570556640625</v>
      </c>
      <c r="N13" s="31">
        <v>327.57144165039063</v>
      </c>
      <c r="O13" s="29">
        <f t="shared" si="0"/>
        <v>0.70255432454239886</v>
      </c>
      <c r="P13" s="29">
        <f t="shared" si="1"/>
        <v>0.11305285503724638</v>
      </c>
    </row>
    <row r="14" spans="1:17" ht="18" customHeight="1">
      <c r="A14" s="187"/>
      <c r="B14" s="37" t="s">
        <v>191</v>
      </c>
      <c r="C14" s="31"/>
      <c r="D14" s="31">
        <v>44.400001525878906</v>
      </c>
      <c r="E14" s="31">
        <v>24.799999237060547</v>
      </c>
      <c r="F14" s="31">
        <v>49.444442749023438</v>
      </c>
      <c r="G14" s="31">
        <v>46.583332061767578</v>
      </c>
      <c r="H14" s="31">
        <v>49.466667175292969</v>
      </c>
      <c r="I14" s="31">
        <v>97.153846740722656</v>
      </c>
      <c r="J14" s="31">
        <v>98.400001525878906</v>
      </c>
      <c r="K14" s="31">
        <v>93.800003051757813</v>
      </c>
      <c r="L14" s="31">
        <v>93.428573608398438</v>
      </c>
      <c r="M14" s="31">
        <v>102.42857360839844</v>
      </c>
      <c r="N14" s="31">
        <v>100.14286041259766</v>
      </c>
      <c r="O14" s="29">
        <f t="shared" si="0"/>
        <v>1.2554697515996383</v>
      </c>
      <c r="P14" s="29">
        <f t="shared" si="1"/>
        <v>1.771198028142696E-2</v>
      </c>
    </row>
    <row r="15" spans="1:17" ht="18" customHeight="1">
      <c r="A15" s="187"/>
      <c r="B15" s="37" t="s">
        <v>192</v>
      </c>
      <c r="C15" s="31"/>
      <c r="D15" s="31">
        <v>162.57298278808594</v>
      </c>
      <c r="E15" s="31">
        <v>131.08262634277344</v>
      </c>
      <c r="F15" s="31">
        <v>171.75386047363281</v>
      </c>
      <c r="G15" s="31">
        <v>168.43072509765625</v>
      </c>
      <c r="H15" s="31">
        <v>176.29837036132813</v>
      </c>
      <c r="I15" s="31">
        <v>250.30412292480469</v>
      </c>
      <c r="J15" s="31">
        <v>241.00984191894531</v>
      </c>
      <c r="K15" s="31">
        <v>238.27375793457031</v>
      </c>
      <c r="L15" s="31">
        <v>247.4412841796875</v>
      </c>
      <c r="M15" s="31">
        <v>274.19244384765625</v>
      </c>
      <c r="N15" s="31">
        <v>261.25741577148438</v>
      </c>
      <c r="O15" s="29">
        <f t="shared" si="0"/>
        <v>0.60701619230320514</v>
      </c>
      <c r="P15" s="29">
        <f t="shared" si="1"/>
        <v>8.4011398419773162E-2</v>
      </c>
    </row>
    <row r="16" spans="1:17" ht="18" customHeight="1">
      <c r="A16" s="187"/>
      <c r="B16" s="37" t="s">
        <v>193</v>
      </c>
      <c r="C16" s="33"/>
      <c r="D16" s="33">
        <v>161.57769775390625</v>
      </c>
      <c r="E16" s="33">
        <v>94.962684631347656</v>
      </c>
      <c r="F16" s="33">
        <v>111.98155975341797</v>
      </c>
      <c r="G16" s="33">
        <v>85.641220092773438</v>
      </c>
      <c r="H16" s="33">
        <v>99.950859069824219</v>
      </c>
      <c r="I16" s="33">
        <v>153.20896911621094</v>
      </c>
      <c r="J16" s="33">
        <v>198.22061157226563</v>
      </c>
      <c r="K16" s="33">
        <v>190.75430297851563</v>
      </c>
      <c r="L16" s="33">
        <v>103.50354766845703</v>
      </c>
      <c r="M16" s="33">
        <v>197.26667785644531</v>
      </c>
      <c r="N16" s="33">
        <v>165.76585388183594</v>
      </c>
      <c r="O16" s="29">
        <f t="shared" si="0"/>
        <v>2.5920384967413834E-2</v>
      </c>
      <c r="P16" s="29">
        <f t="shared" si="1"/>
        <v>-0.16373048914036673</v>
      </c>
    </row>
    <row r="17" spans="1:16" ht="18" customHeight="1">
      <c r="A17" s="187"/>
      <c r="B17" s="37" t="s">
        <v>200</v>
      </c>
      <c r="C17" s="33"/>
      <c r="D17" s="33">
        <f ca="1">156.203015625*OFFSET(D$113,MATCH($N$1,$C$113:$C$114,0)-1,0)</f>
        <v>156.20301562500001</v>
      </c>
      <c r="E17" s="33">
        <f ca="1">138.50234375*OFFSET(E$113,MATCH($N$1,$C$113:$C$114,0)-1,0)</f>
        <v>138.50234374999999</v>
      </c>
      <c r="F17" s="33">
        <f ca="1">229.666421875*OFFSET(F$113,MATCH($N$1,$C$113:$C$114,0)-1,0)</f>
        <v>229.666421875</v>
      </c>
      <c r="G17" s="33">
        <f ca="1">157.970859375*OFFSET(G$113,MATCH($N$1,$C$113:$C$114,0)-1,0)</f>
        <v>157.970859375</v>
      </c>
      <c r="H17" s="33">
        <f ca="1">235.91678125*OFFSET(H$113,MATCH($N$1,$C$113:$C$114,0)-1,0)</f>
        <v>235.91678125000001</v>
      </c>
      <c r="I17" s="33">
        <f ca="1">369.54103125*OFFSET(I$113,MATCH($N$1,$C$113:$C$114,0)-1,0)</f>
        <v>369.54103125</v>
      </c>
      <c r="J17" s="33">
        <f ca="1">390.16953125*OFFSET(J$113,MATCH($N$1,$C$113:$C$114,0)-1,0)</f>
        <v>390.16953124999998</v>
      </c>
      <c r="K17" s="33">
        <f ca="1">415.2035625*OFFSET(K$113,MATCH($N$1,$C$113:$C$114,0)-1,0)</f>
        <v>415.20356249999998</v>
      </c>
      <c r="L17" s="33">
        <f ca="1">174.648671875*OFFSET(L$113,MATCH($N$1,$C$113:$C$114,0)-1,0)</f>
        <v>174.64867187499999</v>
      </c>
      <c r="M17" s="33">
        <f ca="1">302.059375*OFFSET(M$113,MATCH($N$1,$C$113:$C$114,0)-1,0)</f>
        <v>302.05937499999999</v>
      </c>
      <c r="N17" s="33">
        <v>226.82160937500001</v>
      </c>
      <c r="O17" s="29">
        <f t="shared" ca="1" si="0"/>
        <v>0.45209494494994645</v>
      </c>
      <c r="P17" s="29">
        <f t="shared" ca="1" si="1"/>
        <v>-0.41865883620301264</v>
      </c>
    </row>
    <row r="18" spans="1:16" ht="18" customHeight="1">
      <c r="A18" s="187"/>
      <c r="B18" s="37" t="s">
        <v>195</v>
      </c>
      <c r="C18" s="31"/>
      <c r="D18" s="31">
        <v>104</v>
      </c>
      <c r="E18" s="31">
        <v>114</v>
      </c>
      <c r="F18" s="31">
        <v>131</v>
      </c>
      <c r="G18" s="31">
        <v>98.75</v>
      </c>
      <c r="H18" s="31">
        <v>128.33332824707031</v>
      </c>
      <c r="I18" s="31">
        <v>143.30769348144531</v>
      </c>
      <c r="J18" s="31">
        <v>130.30000305175781</v>
      </c>
      <c r="K18" s="31">
        <v>142.30000305175781</v>
      </c>
      <c r="L18" s="31">
        <v>105.42857360839844</v>
      </c>
      <c r="M18" s="31">
        <v>178.42857360839844</v>
      </c>
      <c r="N18" s="31">
        <v>110.28571319580078</v>
      </c>
      <c r="O18" s="29">
        <f t="shared" si="0"/>
        <v>6.0439549959622897E-2</v>
      </c>
      <c r="P18" s="29">
        <f t="shared" si="1"/>
        <v>-0.15360160696241079</v>
      </c>
    </row>
    <row r="19" spans="1:16" ht="18" customHeight="1">
      <c r="A19" s="187"/>
      <c r="B19" s="37" t="s">
        <v>201</v>
      </c>
      <c r="C19" s="31"/>
      <c r="D19" s="31">
        <v>32.799999237060547</v>
      </c>
      <c r="E19" s="31">
        <v>26.799999237060547</v>
      </c>
      <c r="F19" s="31">
        <v>41.444442749023438</v>
      </c>
      <c r="G19" s="31">
        <v>40.083332061767578</v>
      </c>
      <c r="H19" s="31">
        <v>39.866664886474609</v>
      </c>
      <c r="I19" s="31">
        <v>34.461540222167969</v>
      </c>
      <c r="J19" s="31">
        <v>37.400001525878906</v>
      </c>
      <c r="K19" s="31">
        <v>34.299999237060547</v>
      </c>
      <c r="L19" s="31">
        <v>36.142856597900391</v>
      </c>
      <c r="M19" s="31">
        <v>36.285713195800781</v>
      </c>
      <c r="N19" s="31">
        <v>33.285713195800781</v>
      </c>
      <c r="O19" s="29">
        <f t="shared" si="0"/>
        <v>1.4808352745064358E-2</v>
      </c>
      <c r="P19" s="29">
        <f t="shared" si="1"/>
        <v>-0.11000770487218418</v>
      </c>
    </row>
    <row r="20" spans="1:16" ht="18" customHeight="1">
      <c r="A20" s="187"/>
      <c r="B20" s="37" t="s">
        <v>202</v>
      </c>
      <c r="C20" s="38"/>
      <c r="D20" s="38">
        <v>1.5536316633224487</v>
      </c>
      <c r="E20" s="38">
        <v>0.83300602436065674</v>
      </c>
      <c r="F20" s="38">
        <v>0.85482108592987061</v>
      </c>
      <c r="G20" s="38">
        <v>0.8672528862953186</v>
      </c>
      <c r="H20" s="38">
        <v>0.77883791923522949</v>
      </c>
      <c r="I20" s="38">
        <v>1.0690910816192627</v>
      </c>
      <c r="J20" s="38">
        <v>1.5212632417678833</v>
      </c>
      <c r="K20" s="38">
        <v>1.3405081033706665</v>
      </c>
      <c r="L20" s="38">
        <v>0.98174095153808594</v>
      </c>
      <c r="M20" s="38">
        <v>1.105577826499939</v>
      </c>
      <c r="N20" s="38">
        <v>1.5030583143234253</v>
      </c>
      <c r="O20" s="29">
        <f t="shared" si="0"/>
        <v>-3.2551698187504807E-2</v>
      </c>
      <c r="P20" s="29">
        <f t="shared" si="1"/>
        <v>-1.1966980430883074E-2</v>
      </c>
    </row>
    <row r="21" spans="1:16" ht="18" customHeight="1">
      <c r="A21" s="188"/>
      <c r="B21" s="39" t="s">
        <v>203</v>
      </c>
      <c r="C21" s="40"/>
      <c r="D21" s="40">
        <f ca="1">967*OFFSET(D$113,MATCH($N$1,$C$113:$C$114,0)-1,0)</f>
        <v>967</v>
      </c>
      <c r="E21" s="40">
        <f ca="1">1458*OFFSET(E$113,MATCH($N$1,$C$113:$C$114,0)-1,0)</f>
        <v>1458</v>
      </c>
      <c r="F21" s="40">
        <f ca="1">2051*OFFSET(F$113,MATCH($N$1,$C$113:$C$114,0)-1,0)</f>
        <v>2051</v>
      </c>
      <c r="G21" s="40">
        <f ca="1">1845*OFFSET(G$113,MATCH($N$1,$C$113:$C$114,0)-1,0)</f>
        <v>1845</v>
      </c>
      <c r="H21" s="40">
        <f ca="1">2360*OFFSET(H$113,MATCH($N$1,$C$113:$C$114,0)-1,0)</f>
        <v>2360</v>
      </c>
      <c r="I21" s="40">
        <f ca="1">2412*OFFSET(I$113,MATCH($N$1,$C$113:$C$114,0)-1,0)</f>
        <v>2412</v>
      </c>
      <c r="J21" s="40">
        <f ca="1">1968*OFFSET(J$113,MATCH($N$1,$C$113:$C$114,0)-1,0)</f>
        <v>1968</v>
      </c>
      <c r="K21" s="40">
        <f ca="1">2177*OFFSET(K$113,MATCH($N$1,$C$113:$C$114,0)-1,0)</f>
        <v>2177</v>
      </c>
      <c r="L21" s="40">
        <f ca="1">1687*OFFSET(L$113,MATCH($N$1,$C$113:$C$114,0)-1,0)</f>
        <v>1687</v>
      </c>
      <c r="M21" s="40">
        <f ca="1">1531*OFFSET(M$113,MATCH($N$1,$C$113:$C$114,0)-1,0)</f>
        <v>1531</v>
      </c>
      <c r="N21" s="40">
        <v>1368</v>
      </c>
      <c r="O21" s="34">
        <f t="shared" ca="1" si="0"/>
        <v>0.41468459152016546</v>
      </c>
      <c r="P21" s="34">
        <f t="shared" ca="1" si="1"/>
        <v>-0.3048780487804878</v>
      </c>
    </row>
    <row r="22" spans="1:16" ht="18" customHeight="1">
      <c r="A22" s="189" t="s">
        <v>204</v>
      </c>
      <c r="B22" s="35" t="s">
        <v>205</v>
      </c>
      <c r="C22" s="41"/>
      <c r="D22" s="41">
        <v>9.0302183956802242</v>
      </c>
      <c r="E22" s="41">
        <v>5.0591183343934532</v>
      </c>
      <c r="F22" s="41">
        <v>4.0653059428622118</v>
      </c>
      <c r="G22" s="41">
        <v>4.2261352852664862</v>
      </c>
      <c r="H22" s="41">
        <v>3.6625630452172468</v>
      </c>
      <c r="I22" s="41">
        <v>3.3510553793109872</v>
      </c>
      <c r="J22" s="41">
        <v>4.0765249479553862</v>
      </c>
      <c r="K22" s="41">
        <v>3.535603763741678</v>
      </c>
      <c r="L22" s="41">
        <v>2.6390790833184767</v>
      </c>
      <c r="M22" s="41">
        <v>3.1720800613188072</v>
      </c>
      <c r="N22" s="41">
        <v>4.1792672931767321</v>
      </c>
      <c r="O22" s="29">
        <f t="shared" si="0"/>
        <v>-0.53719089505343931</v>
      </c>
      <c r="P22" s="29">
        <f t="shared" si="1"/>
        <v>2.5203413822568924E-2</v>
      </c>
    </row>
    <row r="23" spans="1:16" ht="18" customHeight="1">
      <c r="A23" s="189"/>
      <c r="B23" s="37" t="s">
        <v>206</v>
      </c>
      <c r="C23" s="38"/>
      <c r="D23" s="38">
        <f ca="1">8.72983935757*OFFSET(D$113,MATCH($N$1,$C$113:$C$114,0)-1,0)</f>
        <v>8.7298393575700004</v>
      </c>
      <c r="E23" s="38">
        <f ca="1">7.37868510502056*OFFSET(E$113,MATCH($N$1,$C$113:$C$114,0)-1,0)</f>
        <v>7.3786851050205602</v>
      </c>
      <c r="F23" s="38">
        <f ca="1">8.33766087720384*OFFSET(F$113,MATCH($N$1,$C$113:$C$114,0)-1,0)</f>
        <v>8.3376608772038399</v>
      </c>
      <c r="G23" s="38">
        <f ca="1">7.79538430355561*OFFSET(G$113,MATCH($N$1,$C$113:$C$114,0)-1,0)</f>
        <v>7.7953843035556103</v>
      </c>
      <c r="H23" s="38">
        <f ca="1">8.64484900674272*OFFSET(H$113,MATCH($N$1,$C$113:$C$114,0)-1,0)</f>
        <v>8.6448490067427208</v>
      </c>
      <c r="I23" s="38">
        <f ca="1">8.08276739795264*OFFSET(I$113,MATCH($N$1,$C$113:$C$114,0)-1,0)</f>
        <v>8.0827673979526402</v>
      </c>
      <c r="J23" s="38">
        <f ca="1">8.02406881633911*OFFSET(J$113,MATCH($N$1,$C$113:$C$114,0)-1,0)</f>
        <v>8.0240688163391098</v>
      </c>
      <c r="K23" s="38">
        <f ca="1">7.69573873496993*OFFSET(K$113,MATCH($N$1,$C$113:$C$114,0)-1,0)</f>
        <v>7.6957387349699298</v>
      </c>
      <c r="L23" s="38">
        <f ca="1">4.45310008455998*OFFSET(L$113,MATCH($N$1,$C$113:$C$114,0)-1,0)</f>
        <v>4.4531000845599804</v>
      </c>
      <c r="M23" s="38">
        <f ca="1">4.85716356752958*OFFSET(M$113,MATCH($N$1,$C$113:$C$114,0)-1,0)</f>
        <v>4.8571635675295797</v>
      </c>
      <c r="N23" s="38">
        <v>5.7185971130241278</v>
      </c>
      <c r="O23" s="29">
        <f t="shared" ca="1" si="0"/>
        <v>-0.34493673035743794</v>
      </c>
      <c r="P23" s="29">
        <f t="shared" ca="1" si="1"/>
        <v>-0.28731953278122896</v>
      </c>
    </row>
    <row r="24" spans="1:16" ht="18" customHeight="1">
      <c r="A24" s="189"/>
      <c r="B24" s="37" t="s">
        <v>153</v>
      </c>
      <c r="C24" s="38"/>
      <c r="D24" s="38">
        <f ca="1">7.96783050893571*OFFSET(D$113,MATCH($N$1,$C$113:$C$114,0)-1,0)</f>
        <v>7.9678305089357098</v>
      </c>
      <c r="E24" s="38">
        <f ca="1">6.33344995948852*OFFSET(E$113,MATCH($N$1,$C$113:$C$114,0)-1,0)</f>
        <v>6.3334499594885196</v>
      </c>
      <c r="F24" s="38">
        <f ca="1">7.3250110192992*OFFSET(F$113,MATCH($N$1,$C$113:$C$114,0)-1,0)</f>
        <v>7.3250110192992004</v>
      </c>
      <c r="G24" s="38">
        <f ca="1">6.22699310462745*OFFSET(G$113,MATCH($N$1,$C$113:$C$114,0)-1,0)</f>
        <v>6.22699310462745</v>
      </c>
      <c r="H24" s="38">
        <f ca="1">6.52254485481819*OFFSET(H$113,MATCH($N$1,$C$113:$C$114,0)-1,0)</f>
        <v>6.5225448548181904</v>
      </c>
      <c r="I24" s="38">
        <f ca="1">7.12098941732308*OFFSET(I$113,MATCH($N$1,$C$113:$C$114,0)-1,0)</f>
        <v>7.1209894173230799</v>
      </c>
      <c r="J24" s="38">
        <f ca="1">7.63982419950427*OFFSET(J$113,MATCH($N$1,$C$113:$C$114,0)-1,0)</f>
        <v>7.6398241995042699</v>
      </c>
      <c r="K24" s="38">
        <f ca="1">7.22816032709389*OFFSET(K$113,MATCH($N$1,$C$113:$C$114,0)-1,0)</f>
        <v>7.2281603270938897</v>
      </c>
      <c r="L24" s="38">
        <f ca="1">5.08281126589982*OFFSET(L$113,MATCH($N$1,$C$113:$C$114,0)-1,0)</f>
        <v>5.0828112658998199</v>
      </c>
      <c r="M24" s="38">
        <f ca="1">4.57279586523769*OFFSET(M$113,MATCH($N$1,$C$113:$C$114,0)-1,0)</f>
        <v>4.5727958652376897</v>
      </c>
      <c r="N24" s="38">
        <v>5.6606253629130627</v>
      </c>
      <c r="O24" s="29">
        <f t="shared" ca="1" si="0"/>
        <v>-0.28956503824161145</v>
      </c>
      <c r="P24" s="29">
        <f t="shared" ca="1" si="1"/>
        <v>-0.25906340053212645</v>
      </c>
    </row>
    <row r="25" spans="1:16" ht="18" customHeight="1">
      <c r="A25" s="189"/>
      <c r="B25" s="37" t="s">
        <v>154</v>
      </c>
      <c r="C25" s="38"/>
      <c r="D25" s="38">
        <f ca="1">0.778009000115269*OFFSET(D$113,MATCH($N$1,$C$113:$C$114,0)-1,0)</f>
        <v>0.77800900011526897</v>
      </c>
      <c r="E25" s="38">
        <f ca="1">1.04974305832956*OFFSET(E$113,MATCH($N$1,$C$113:$C$114,0)-1,0)</f>
        <v>1.0497430583295599</v>
      </c>
      <c r="F25" s="38">
        <f ca="1">1.02283743167684*OFFSET(F$113,MATCH($N$1,$C$113:$C$114,0)-1,0)</f>
        <v>1.02283743167684</v>
      </c>
      <c r="G25" s="38">
        <f ca="1">1.56839119892817*OFFSET(G$113,MATCH($N$1,$C$113:$C$114,0)-1,0)</f>
        <v>1.56839119892817</v>
      </c>
      <c r="H25" s="38">
        <f ca="1">2.12230415192452*OFFSET(H$113,MATCH($N$1,$C$113:$C$114,0)-1,0)</f>
        <v>2.1223041519245198</v>
      </c>
      <c r="I25" s="38">
        <f ca="1">1.54182567623888*OFFSET(I$113,MATCH($N$1,$C$113:$C$114,0)-1,0)</f>
        <v>1.54182567623888</v>
      </c>
      <c r="J25" s="38">
        <f ca="1">1.52240276208803*OFFSET(J$113,MATCH($N$1,$C$113:$C$114,0)-1,0)</f>
        <v>1.52240276208803</v>
      </c>
      <c r="K25" s="38">
        <f ca="1">1.89783311591077*OFFSET(K$113,MATCH($N$1,$C$113:$C$114,0)-1,0)</f>
        <v>1.89783311591077</v>
      </c>
      <c r="L25" s="38">
        <f ca="1">0.709509811049769*OFFSET(L$113,MATCH($N$1,$C$113:$C$114,0)-1,0)</f>
        <v>0.70950981104976896</v>
      </c>
      <c r="M25" s="38">
        <f ca="1">0.633312579874748*OFFSET(M$113,MATCH($N$1,$C$113:$C$114,0)-1,0)</f>
        <v>0.63331257987474798</v>
      </c>
      <c r="N25" s="38">
        <v>7.2640059328653181E-2</v>
      </c>
      <c r="O25" s="29">
        <f t="shared" ca="1" si="0"/>
        <v>-0.90663339457783798</v>
      </c>
      <c r="P25" s="29">
        <f t="shared" ca="1" si="1"/>
        <v>-0.95228591202171453</v>
      </c>
    </row>
    <row r="26" spans="1:16" ht="18" customHeight="1">
      <c r="A26" s="189"/>
      <c r="B26" s="37" t="s">
        <v>207</v>
      </c>
      <c r="C26" s="33"/>
      <c r="D26" s="33">
        <f ca="1">123.59*OFFSET(D$113,MATCH($N$1,$C$113:$C$114,0)-1,0)</f>
        <v>123.59</v>
      </c>
      <c r="E26" s="33">
        <f ca="1">79.66*OFFSET(E$113,MATCH($N$1,$C$113:$C$114,0)-1,0)</f>
        <v>79.66</v>
      </c>
      <c r="F26" s="33">
        <f ca="1">75.09*OFFSET(F$113,MATCH($N$1,$C$113:$C$114,0)-1,0)</f>
        <v>75.09</v>
      </c>
      <c r="G26" s="33">
        <f ca="1">97.73*OFFSET(G$113,MATCH($N$1,$C$113:$C$114,0)-1,0)</f>
        <v>97.73</v>
      </c>
      <c r="H26" s="33">
        <f ca="1">56.59*OFFSET(H$113,MATCH($N$1,$C$113:$C$114,0)-1,0)</f>
        <v>56.59</v>
      </c>
      <c r="I26" s="33">
        <f ca="1">75.98*OFFSET(I$113,MATCH($N$1,$C$113:$C$114,0)-1,0)</f>
        <v>75.98</v>
      </c>
      <c r="J26" s="33">
        <f ca="1">129.52*OFFSET(J$113,MATCH($N$1,$C$113:$C$114,0)-1,0)</f>
        <v>129.52000000000001</v>
      </c>
      <c r="K26" s="33">
        <f ca="1">136.7*OFFSET(K$113,MATCH($N$1,$C$113:$C$114,0)-1,0)</f>
        <v>136.69999999999999</v>
      </c>
      <c r="L26" s="33">
        <f ca="1">65.15*OFFSET(L$113,MATCH($N$1,$C$113:$C$114,0)-1,0)</f>
        <v>65.150000000000006</v>
      </c>
      <c r="M26" s="33">
        <f ca="1">49.68*OFFSET(M$113,MATCH($N$1,$C$113:$C$114,0)-1,0)</f>
        <v>49.68</v>
      </c>
      <c r="N26" s="33">
        <v>55.52</v>
      </c>
      <c r="O26" s="29">
        <f t="shared" ca="1" si="0"/>
        <v>-0.5507727162391779</v>
      </c>
      <c r="P26" s="29">
        <f t="shared" ca="1" si="1"/>
        <v>-0.57134033353922165</v>
      </c>
    </row>
    <row r="27" spans="1:16" ht="18" customHeight="1">
      <c r="A27" s="190"/>
      <c r="B27" s="37" t="s">
        <v>208</v>
      </c>
      <c r="C27" s="33"/>
      <c r="D27" s="33">
        <f ca="1">11*OFFSET(D$113,MATCH($N$1,$C$113:$C$114,0)-1,0)</f>
        <v>11</v>
      </c>
      <c r="E27" s="33">
        <f ca="1">11.33*OFFSET(E$113,MATCH($N$1,$C$113:$C$114,0)-1,0)</f>
        <v>11.33</v>
      </c>
      <c r="F27" s="33">
        <f ca="1">9.22*OFFSET(F$113,MATCH($N$1,$C$113:$C$114,0)-1,0)</f>
        <v>9.2200000000000006</v>
      </c>
      <c r="G27" s="33">
        <f ca="1">19.67*OFFSET(G$113,MATCH($N$1,$C$113:$C$114,0)-1,0)</f>
        <v>19.670000000000002</v>
      </c>
      <c r="H27" s="33">
        <f ca="1">13.89*OFFSET(H$113,MATCH($N$1,$C$113:$C$114,0)-1,0)</f>
        <v>13.89</v>
      </c>
      <c r="I27" s="33">
        <f ca="1">14.5*OFFSET(I$113,MATCH($N$1,$C$113:$C$114,0)-1,0)</f>
        <v>14.5</v>
      </c>
      <c r="J27" s="33">
        <f ca="1">24.56*OFFSET(J$113,MATCH($N$1,$C$113:$C$114,0)-1,0)</f>
        <v>24.56</v>
      </c>
      <c r="K27" s="33">
        <f ca="1">33.71*OFFSET(K$113,MATCH($N$1,$C$113:$C$114,0)-1,0)</f>
        <v>33.71</v>
      </c>
      <c r="L27" s="33">
        <f ca="1">10.37*OFFSET(L$113,MATCH($N$1,$C$113:$C$114,0)-1,0)</f>
        <v>10.37</v>
      </c>
      <c r="M27" s="33">
        <f ca="1">6.48*OFFSET(M$113,MATCH($N$1,$C$113:$C$114,0)-1,0)</f>
        <v>6.48</v>
      </c>
      <c r="N27" s="33">
        <v>0.71</v>
      </c>
      <c r="O27" s="34">
        <f t="shared" ca="1" si="0"/>
        <v>-0.93545454545454543</v>
      </c>
      <c r="P27" s="34">
        <f t="shared" ca="1" si="1"/>
        <v>-0.97109120521172632</v>
      </c>
    </row>
    <row r="28" spans="1:16" s="78" customFormat="1" ht="18" customHeight="1">
      <c r="A28" s="191" t="s">
        <v>209</v>
      </c>
      <c r="B28" s="82" t="s">
        <v>200</v>
      </c>
      <c r="C28" s="83"/>
      <c r="D28" s="83">
        <f ca="1">156.2*OFFSET(D$113,MATCH($N$1,$C$113:$C$114,0)-1,0)</f>
        <v>156.19999999999999</v>
      </c>
      <c r="E28" s="83">
        <f ca="1">138.5*OFFSET(E$113,MATCH($N$1,$C$113:$C$114,0)-1,0)</f>
        <v>138.5</v>
      </c>
      <c r="F28" s="83">
        <f ca="1">229.7*OFFSET(F$113,MATCH($N$1,$C$113:$C$114,0)-1,0)</f>
        <v>229.7</v>
      </c>
      <c r="G28" s="83">
        <f ca="1">158*OFFSET(G$113,MATCH($N$1,$C$113:$C$114,0)-1,0)</f>
        <v>158</v>
      </c>
      <c r="H28" s="83">
        <f ca="1">235.9*OFFSET(H$113,MATCH($N$1,$C$113:$C$114,0)-1,0)</f>
        <v>235.9</v>
      </c>
      <c r="I28" s="83">
        <f ca="1">369.5*OFFSET(I$113,MATCH($N$1,$C$113:$C$114,0)-1,0)</f>
        <v>369.5</v>
      </c>
      <c r="J28" s="83">
        <f ca="1">390.2*OFFSET(J$113,MATCH($N$1,$C$113:$C$114,0)-1,0)</f>
        <v>390.2</v>
      </c>
      <c r="K28" s="83">
        <f ca="1">415.2*OFFSET(K$113,MATCH($N$1,$C$113:$C$114,0)-1,0)</f>
        <v>415.2</v>
      </c>
      <c r="L28" s="83">
        <f ca="1">174.6*OFFSET(L$113,MATCH($N$1,$C$113:$C$114,0)-1,0)</f>
        <v>174.6</v>
      </c>
      <c r="M28" s="83">
        <f ca="1">302.1*OFFSET(M$113,MATCH($N$1,$C$113:$C$114,0)-1,0)</f>
        <v>302.10000000000002</v>
      </c>
      <c r="N28" s="83">
        <v>226.8</v>
      </c>
      <c r="O28" s="84">
        <f t="shared" ca="1" si="0"/>
        <v>0.45198463508322684</v>
      </c>
      <c r="P28" s="84">
        <f t="shared" ca="1" si="1"/>
        <v>-0.41875961045617627</v>
      </c>
    </row>
    <row r="29" spans="1:16" s="78" customFormat="1" ht="18" customHeight="1">
      <c r="A29" s="192"/>
      <c r="B29" s="85" t="s">
        <v>210</v>
      </c>
      <c r="C29" s="86"/>
      <c r="D29" s="86">
        <f ca="1">0.3*OFFSET(D$113,MATCH($N$1,$C$113:$C$114,0)-1,0)</f>
        <v>0.3</v>
      </c>
      <c r="E29" s="86">
        <f ca="1">0.1*OFFSET(E$113,MATCH($N$1,$C$113:$C$114,0)-1,0)</f>
        <v>0.1</v>
      </c>
      <c r="F29" s="86">
        <f ca="1">0.3*OFFSET(F$113,MATCH($N$1,$C$113:$C$114,0)-1,0)</f>
        <v>0.3</v>
      </c>
      <c r="G29" s="86"/>
      <c r="H29" s="86"/>
      <c r="I29" s="86">
        <f ca="1">26.5*OFFSET(I$113,MATCH($N$1,$C$113:$C$114,0)-1,0)</f>
        <v>26.5</v>
      </c>
      <c r="J29" s="86">
        <f ca="1">55.3*OFFSET(J$113,MATCH($N$1,$C$113:$C$114,0)-1,0)</f>
        <v>55.3</v>
      </c>
      <c r="K29" s="86">
        <f ca="1">77.2*OFFSET(K$113,MATCH($N$1,$C$113:$C$114,0)-1,0)</f>
        <v>77.2</v>
      </c>
      <c r="L29" s="86">
        <f ca="1">52.5*OFFSET(L$113,MATCH($N$1,$C$113:$C$114,0)-1,0)</f>
        <v>52.5</v>
      </c>
      <c r="M29" s="86">
        <f ca="1">21.7*OFFSET(M$113,MATCH($N$1,$C$113:$C$114,0)-1,0)</f>
        <v>21.7</v>
      </c>
      <c r="N29" s="86">
        <v>0.6</v>
      </c>
      <c r="O29" s="84">
        <f t="shared" ca="1" si="0"/>
        <v>1</v>
      </c>
      <c r="P29" s="84">
        <f t="shared" ca="1" si="1"/>
        <v>-0.98915009041591317</v>
      </c>
    </row>
    <row r="30" spans="1:16" s="78" customFormat="1" ht="18" customHeight="1">
      <c r="A30" s="192"/>
      <c r="B30" s="87" t="s">
        <v>211</v>
      </c>
      <c r="C30" s="88"/>
      <c r="D30" s="88">
        <f ca="1">156.5*OFFSET(D$113,MATCH($N$1,$C$113:$C$114,0)-1,0)</f>
        <v>156.5</v>
      </c>
      <c r="E30" s="88">
        <f ca="1">138.6*OFFSET(E$113,MATCH($N$1,$C$113:$C$114,0)-1,0)</f>
        <v>138.6</v>
      </c>
      <c r="F30" s="88">
        <f ca="1">229.9*OFFSET(F$113,MATCH($N$1,$C$113:$C$114,0)-1,0)</f>
        <v>229.9</v>
      </c>
      <c r="G30" s="88">
        <f ca="1">158*OFFSET(G$113,MATCH($N$1,$C$113:$C$114,0)-1,0)</f>
        <v>158</v>
      </c>
      <c r="H30" s="88">
        <f ca="1">235.9*OFFSET(H$113,MATCH($N$1,$C$113:$C$114,0)-1,0)</f>
        <v>235.9</v>
      </c>
      <c r="I30" s="88">
        <f ca="1">396.1*OFFSET(I$113,MATCH($N$1,$C$113:$C$114,0)-1,0)</f>
        <v>396.1</v>
      </c>
      <c r="J30" s="88">
        <f ca="1">445.5*OFFSET(J$113,MATCH($N$1,$C$113:$C$114,0)-1,0)</f>
        <v>445.5</v>
      </c>
      <c r="K30" s="88">
        <f ca="1">492.4*OFFSET(K$113,MATCH($N$1,$C$113:$C$114,0)-1,0)</f>
        <v>492.4</v>
      </c>
      <c r="L30" s="88">
        <f ca="1">227.2*OFFSET(L$113,MATCH($N$1,$C$113:$C$114,0)-1,0)</f>
        <v>227.2</v>
      </c>
      <c r="M30" s="88">
        <f ca="1">323.8*OFFSET(M$113,MATCH($N$1,$C$113:$C$114,0)-1,0)</f>
        <v>323.8</v>
      </c>
      <c r="N30" s="88">
        <v>227.4</v>
      </c>
      <c r="O30" s="84">
        <f t="shared" ca="1" si="0"/>
        <v>0.45303514376996806</v>
      </c>
      <c r="P30" s="84">
        <f t="shared" ca="1" si="1"/>
        <v>-0.48956228956228953</v>
      </c>
    </row>
    <row r="31" spans="1:16" s="78" customFormat="1" ht="18" customHeight="1">
      <c r="A31" s="192"/>
      <c r="B31" s="85" t="s">
        <v>212</v>
      </c>
      <c r="C31" s="86"/>
      <c r="D31" s="86">
        <f ca="1">41.4*OFFSET(D$113,MATCH($N$1,$C$113:$C$114,0)-1,0)</f>
        <v>41.4</v>
      </c>
      <c r="E31" s="86">
        <f ca="1">38.4*OFFSET(E$113,MATCH($N$1,$C$113:$C$114,0)-1,0)</f>
        <v>38.4</v>
      </c>
      <c r="F31" s="86">
        <f ca="1">47.6*OFFSET(F$113,MATCH($N$1,$C$113:$C$114,0)-1,0)</f>
        <v>47.6</v>
      </c>
      <c r="G31" s="86">
        <f ca="1">25.3*OFFSET(G$113,MATCH($N$1,$C$113:$C$114,0)-1,0)</f>
        <v>25.3</v>
      </c>
      <c r="H31" s="86">
        <f ca="1">31.8*OFFSET(H$113,MATCH($N$1,$C$113:$C$114,0)-1,0)</f>
        <v>31.8</v>
      </c>
      <c r="I31" s="86">
        <f ca="1">53*OFFSET(I$113,MATCH($N$1,$C$113:$C$114,0)-1,0)</f>
        <v>53</v>
      </c>
      <c r="J31" s="86">
        <f ca="1">62.8*OFFSET(J$113,MATCH($N$1,$C$113:$C$114,0)-1,0)</f>
        <v>62.8</v>
      </c>
      <c r="K31" s="86">
        <f ca="1">64.7*OFFSET(K$113,MATCH($N$1,$C$113:$C$114,0)-1,0)</f>
        <v>64.7</v>
      </c>
      <c r="L31" s="86">
        <f ca="1">35.7*OFFSET(L$113,MATCH($N$1,$C$113:$C$114,0)-1,0)</f>
        <v>35.700000000000003</v>
      </c>
      <c r="M31" s="86">
        <f ca="1">70*OFFSET(M$113,MATCH($N$1,$C$113:$C$114,0)-1,0)</f>
        <v>70</v>
      </c>
      <c r="N31" s="86">
        <v>73.900000000000006</v>
      </c>
      <c r="O31" s="84">
        <f t="shared" ca="1" si="0"/>
        <v>0.78502415458937214</v>
      </c>
      <c r="P31" s="84">
        <f t="shared" ca="1" si="1"/>
        <v>0.17675159235668805</v>
      </c>
    </row>
    <row r="32" spans="1:16" s="78" customFormat="1" ht="18" customHeight="1">
      <c r="A32" s="192"/>
      <c r="B32" s="85" t="s">
        <v>213</v>
      </c>
      <c r="C32" s="86"/>
      <c r="D32" s="86">
        <f ca="1">21.7*OFFSET(D$113,MATCH($N$1,$C$113:$C$114,0)-1,0)</f>
        <v>21.7</v>
      </c>
      <c r="E32" s="86">
        <f ca="1">37.6*OFFSET(E$113,MATCH($N$1,$C$113:$C$114,0)-1,0)</f>
        <v>37.6</v>
      </c>
      <c r="F32" s="86">
        <f ca="1">38.2*OFFSET(F$113,MATCH($N$1,$C$113:$C$114,0)-1,0)</f>
        <v>38.200000000000003</v>
      </c>
      <c r="G32" s="86">
        <f ca="1">36.3*OFFSET(G$113,MATCH($N$1,$C$113:$C$114,0)-1,0)</f>
        <v>36.299999999999997</v>
      </c>
      <c r="H32" s="86">
        <f ca="1">25.7*OFFSET(H$113,MATCH($N$1,$C$113:$C$114,0)-1,0)</f>
        <v>25.7</v>
      </c>
      <c r="I32" s="86">
        <f ca="1">93.2*OFFSET(I$113,MATCH($N$1,$C$113:$C$114,0)-1,0)</f>
        <v>93.2</v>
      </c>
      <c r="J32" s="86">
        <f ca="1">117.3*OFFSET(J$113,MATCH($N$1,$C$113:$C$114,0)-1,0)</f>
        <v>117.3</v>
      </c>
      <c r="K32" s="86">
        <f ca="1">137.6*OFFSET(K$113,MATCH($N$1,$C$113:$C$114,0)-1,0)</f>
        <v>137.6</v>
      </c>
      <c r="L32" s="86">
        <f ca="1">61.9*OFFSET(L$113,MATCH($N$1,$C$113:$C$114,0)-1,0)</f>
        <v>61.9</v>
      </c>
      <c r="M32" s="86">
        <f ca="1">88.8*OFFSET(M$113,MATCH($N$1,$C$113:$C$114,0)-1,0)</f>
        <v>88.8</v>
      </c>
      <c r="N32" s="86">
        <v>56.300000000000004</v>
      </c>
      <c r="O32" s="84">
        <f t="shared" ca="1" si="0"/>
        <v>1.5944700460829497</v>
      </c>
      <c r="P32" s="84">
        <f t="shared" ca="1" si="1"/>
        <v>-0.52003410059676036</v>
      </c>
    </row>
    <row r="33" spans="1:16" s="78" customFormat="1" ht="18" customHeight="1">
      <c r="A33" s="192"/>
      <c r="B33" s="85" t="s">
        <v>214</v>
      </c>
      <c r="C33" s="86"/>
      <c r="D33" s="86">
        <f ca="1">32.8*OFFSET(D$113,MATCH($N$1,$C$113:$C$114,0)-1,0)</f>
        <v>32.799999999999997</v>
      </c>
      <c r="E33" s="86">
        <f ca="1">18.4*OFFSET(E$113,MATCH($N$1,$C$113:$C$114,0)-1,0)</f>
        <v>18.399999999999999</v>
      </c>
      <c r="F33" s="86">
        <f ca="1">59.1*OFFSET(F$113,MATCH($N$1,$C$113:$C$114,0)-1,0)</f>
        <v>59.1</v>
      </c>
      <c r="G33" s="86">
        <f ca="1">16.4*OFFSET(G$113,MATCH($N$1,$C$113:$C$114,0)-1,0)</f>
        <v>16.399999999999999</v>
      </c>
      <c r="H33" s="86">
        <f ca="1">39.3*OFFSET(H$113,MATCH($N$1,$C$113:$C$114,0)-1,0)</f>
        <v>39.299999999999997</v>
      </c>
      <c r="I33" s="86">
        <f ca="1">63.2*OFFSET(I$113,MATCH($N$1,$C$113:$C$114,0)-1,0)</f>
        <v>63.2</v>
      </c>
      <c r="J33" s="86">
        <f ca="1">81.9*OFFSET(J$113,MATCH($N$1,$C$113:$C$114,0)-1,0)</f>
        <v>81.900000000000006</v>
      </c>
      <c r="K33" s="86">
        <f ca="1">70.5*OFFSET(K$113,MATCH($N$1,$C$113:$C$114,0)-1,0)</f>
        <v>70.5</v>
      </c>
      <c r="L33" s="86">
        <f ca="1">36.9*OFFSET(L$113,MATCH($N$1,$C$113:$C$114,0)-1,0)</f>
        <v>36.9</v>
      </c>
      <c r="M33" s="86">
        <f ca="1">49.5*OFFSET(M$113,MATCH($N$1,$C$113:$C$114,0)-1,0)</f>
        <v>49.5</v>
      </c>
      <c r="N33" s="86">
        <v>37.200000000000003</v>
      </c>
      <c r="O33" s="84">
        <f t="shared" ca="1" si="0"/>
        <v>0.13414634146341481</v>
      </c>
      <c r="P33" s="84">
        <f t="shared" ca="1" si="1"/>
        <v>-0.54578754578754574</v>
      </c>
    </row>
    <row r="34" spans="1:16" s="78" customFormat="1" ht="18" customHeight="1">
      <c r="A34" s="192"/>
      <c r="B34" s="85" t="s">
        <v>215</v>
      </c>
      <c r="C34" s="86"/>
      <c r="D34" s="86">
        <f ca="1">95.9*OFFSET(D$113,MATCH($N$1,$C$113:$C$114,0)-1,0)</f>
        <v>95.9</v>
      </c>
      <c r="E34" s="86">
        <f ca="1">94.4*OFFSET(E$113,MATCH($N$1,$C$113:$C$114,0)-1,0)</f>
        <v>94.4</v>
      </c>
      <c r="F34" s="86">
        <f ca="1">144.9*OFFSET(F$113,MATCH($N$1,$C$113:$C$114,0)-1,0)</f>
        <v>144.9</v>
      </c>
      <c r="G34" s="86">
        <f ca="1">78*OFFSET(G$113,MATCH($N$1,$C$113:$C$114,0)-1,0)</f>
        <v>78</v>
      </c>
      <c r="H34" s="86">
        <f ca="1">96.8*OFFSET(H$113,MATCH($N$1,$C$113:$C$114,0)-1,0)</f>
        <v>96.8</v>
      </c>
      <c r="I34" s="86">
        <f ca="1">209.4*OFFSET(I$113,MATCH($N$1,$C$113:$C$114,0)-1,0)</f>
        <v>209.4</v>
      </c>
      <c r="J34" s="86">
        <f ca="1">262.1*OFFSET(J$113,MATCH($N$1,$C$113:$C$114,0)-1,0)</f>
        <v>262.10000000000002</v>
      </c>
      <c r="K34" s="86">
        <f ca="1">272.8*OFFSET(K$113,MATCH($N$1,$C$113:$C$114,0)-1,0)</f>
        <v>272.8</v>
      </c>
      <c r="L34" s="86">
        <f ca="1">134.5*OFFSET(L$113,MATCH($N$1,$C$113:$C$114,0)-1,0)</f>
        <v>134.5</v>
      </c>
      <c r="M34" s="86">
        <f ca="1">208.3*OFFSET(M$113,MATCH($N$1,$C$113:$C$114,0)-1,0)</f>
        <v>208.3</v>
      </c>
      <c r="N34" s="86">
        <v>167.4</v>
      </c>
      <c r="O34" s="84">
        <f t="shared" ca="1" si="0"/>
        <v>0.74556830031282584</v>
      </c>
      <c r="P34" s="84">
        <f t="shared" ca="1" si="1"/>
        <v>-0.36131247615413969</v>
      </c>
    </row>
    <row r="35" spans="1:16" s="78" customFormat="1" ht="18" customHeight="1">
      <c r="A35" s="192"/>
      <c r="B35" s="85" t="s">
        <v>216</v>
      </c>
      <c r="C35" s="86"/>
      <c r="D35" s="86">
        <f ca="1">46.6*OFFSET(D$113,MATCH($N$1,$C$113:$C$114,0)-1,0)</f>
        <v>46.6</v>
      </c>
      <c r="E35" s="86">
        <f ca="1">24.4*OFFSET(E$113,MATCH($N$1,$C$113:$C$114,0)-1,0)</f>
        <v>24.4</v>
      </c>
      <c r="F35" s="86">
        <f ca="1">56.8*OFFSET(F$113,MATCH($N$1,$C$113:$C$114,0)-1,0)</f>
        <v>56.8</v>
      </c>
      <c r="G35" s="86">
        <f ca="1">48.2*OFFSET(G$113,MATCH($N$1,$C$113:$C$114,0)-1,0)</f>
        <v>48.2</v>
      </c>
      <c r="H35" s="86">
        <f ca="1">81.2*OFFSET(H$113,MATCH($N$1,$C$113:$C$114,0)-1,0)</f>
        <v>81.2</v>
      </c>
      <c r="I35" s="86">
        <f ca="1">116.2*OFFSET(I$113,MATCH($N$1,$C$113:$C$114,0)-1,0)</f>
        <v>116.2</v>
      </c>
      <c r="J35" s="86">
        <f ca="1">109.4*OFFSET(J$113,MATCH($N$1,$C$113:$C$114,0)-1,0)</f>
        <v>109.4</v>
      </c>
      <c r="K35" s="86">
        <f ca="1">117.2*OFFSET(K$113,MATCH($N$1,$C$113:$C$114,0)-1,0)</f>
        <v>117.2</v>
      </c>
      <c r="L35" s="86">
        <f ca="1">64.9*OFFSET(L$113,MATCH($N$1,$C$113:$C$114,0)-1,0)</f>
        <v>64.900000000000006</v>
      </c>
      <c r="M35" s="86">
        <f ca="1">76.1*OFFSET(M$113,MATCH($N$1,$C$113:$C$114,0)-1,0)</f>
        <v>76.099999999999994</v>
      </c>
      <c r="N35" s="86">
        <v>57.1</v>
      </c>
      <c r="O35" s="84">
        <f t="shared" ca="1" si="0"/>
        <v>0.22532188841201717</v>
      </c>
      <c r="P35" s="84">
        <f t="shared" ca="1" si="1"/>
        <v>-0.4780621572212066</v>
      </c>
    </row>
    <row r="36" spans="1:16" s="78" customFormat="1" ht="18" customHeight="1">
      <c r="A36" s="192"/>
      <c r="B36" s="85" t="s">
        <v>217</v>
      </c>
      <c r="C36" s="86"/>
      <c r="D36" s="86">
        <f ca="1">142.6*OFFSET(D$113,MATCH($N$1,$C$113:$C$114,0)-1,0)</f>
        <v>142.6</v>
      </c>
      <c r="E36" s="86">
        <f ca="1">118.9*OFFSET(E$113,MATCH($N$1,$C$113:$C$114,0)-1,0)</f>
        <v>118.9</v>
      </c>
      <c r="F36" s="86">
        <f ca="1">201.8*OFFSET(F$113,MATCH($N$1,$C$113:$C$114,0)-1,0)</f>
        <v>201.8</v>
      </c>
      <c r="G36" s="86">
        <f ca="1">126.2*OFFSET(G$113,MATCH($N$1,$C$113:$C$114,0)-1,0)</f>
        <v>126.2</v>
      </c>
      <c r="H36" s="86">
        <f ca="1">178*OFFSET(H$113,MATCH($N$1,$C$113:$C$114,0)-1,0)</f>
        <v>178</v>
      </c>
      <c r="I36" s="86">
        <f ca="1">325.6*OFFSET(I$113,MATCH($N$1,$C$113:$C$114,0)-1,0)</f>
        <v>325.60000000000002</v>
      </c>
      <c r="J36" s="86">
        <f ca="1">371.5*OFFSET(J$113,MATCH($N$1,$C$113:$C$114,0)-1,0)</f>
        <v>371.5</v>
      </c>
      <c r="K36" s="86">
        <f ca="1">390*OFFSET(K$113,MATCH($N$1,$C$113:$C$114,0)-1,0)</f>
        <v>390</v>
      </c>
      <c r="L36" s="86">
        <f ca="1">199.3*OFFSET(L$113,MATCH($N$1,$C$113:$C$114,0)-1,0)</f>
        <v>199.3</v>
      </c>
      <c r="M36" s="86">
        <f ca="1">284.4*OFFSET(M$113,MATCH($N$1,$C$113:$C$114,0)-1,0)</f>
        <v>284.39999999999998</v>
      </c>
      <c r="N36" s="86">
        <v>224.5</v>
      </c>
      <c r="O36" s="84">
        <f t="shared" ca="1" si="0"/>
        <v>0.57433380084151475</v>
      </c>
      <c r="P36" s="84">
        <f t="shared" ca="1" si="1"/>
        <v>-0.39569313593539707</v>
      </c>
    </row>
    <row r="37" spans="1:16" s="78" customFormat="1" ht="18" customHeight="1">
      <c r="A37" s="192"/>
      <c r="B37" s="87" t="s">
        <v>218</v>
      </c>
      <c r="C37" s="88"/>
      <c r="D37" s="88">
        <f ca="1">35.6*OFFSET(D$113,MATCH($N$1,$C$113:$C$114,0)-1,0)</f>
        <v>35.6</v>
      </c>
      <c r="E37" s="88">
        <f ca="1">57.3*OFFSET(E$113,MATCH($N$1,$C$113:$C$114,0)-1,0)</f>
        <v>57.3</v>
      </c>
      <c r="F37" s="88">
        <f ca="1">66.4*OFFSET(F$113,MATCH($N$1,$C$113:$C$114,0)-1,0)</f>
        <v>66.400000000000006</v>
      </c>
      <c r="G37" s="88">
        <f ca="1">68.1*OFFSET(G$113,MATCH($N$1,$C$113:$C$114,0)-1,0)</f>
        <v>68.099999999999994</v>
      </c>
      <c r="H37" s="88">
        <f ca="1">83.6*OFFSET(H$113,MATCH($N$1,$C$113:$C$114,0)-1,0)</f>
        <v>83.6</v>
      </c>
      <c r="I37" s="88">
        <f ca="1">163.7*OFFSET(I$113,MATCH($N$1,$C$113:$C$114,0)-1,0)</f>
        <v>163.69999999999999</v>
      </c>
      <c r="J37" s="88">
        <f ca="1">191.3*OFFSET(J$113,MATCH($N$1,$C$113:$C$114,0)-1,0)</f>
        <v>191.3</v>
      </c>
      <c r="K37" s="88">
        <f ca="1">240*OFFSET(K$113,MATCH($N$1,$C$113:$C$114,0)-1,0)</f>
        <v>240</v>
      </c>
      <c r="L37" s="88">
        <f ca="1">89.7*OFFSET(L$113,MATCH($N$1,$C$113:$C$114,0)-1,0)</f>
        <v>89.7</v>
      </c>
      <c r="M37" s="88">
        <f ca="1">128.2*OFFSET(M$113,MATCH($N$1,$C$113:$C$114,0)-1,0)</f>
        <v>128.19999999999999</v>
      </c>
      <c r="N37" s="88">
        <v>59.2</v>
      </c>
      <c r="O37" s="84">
        <f t="shared" ca="1" si="0"/>
        <v>0.66292134831460681</v>
      </c>
      <c r="P37" s="84">
        <f t="shared" ca="1" si="1"/>
        <v>-0.69053842132775756</v>
      </c>
    </row>
    <row r="38" spans="1:16" s="78" customFormat="1" ht="18" customHeight="1">
      <c r="A38" s="192"/>
      <c r="B38" s="87" t="s">
        <v>219</v>
      </c>
      <c r="C38" s="88"/>
      <c r="D38" s="88">
        <f ca="1">13.9*OFFSET(D$113,MATCH($N$1,$C$113:$C$114,0)-1,0)</f>
        <v>13.9</v>
      </c>
      <c r="E38" s="88">
        <f ca="1">19.7*OFFSET(E$113,MATCH($N$1,$C$113:$C$114,0)-1,0)</f>
        <v>19.7</v>
      </c>
      <c r="F38" s="88">
        <f ca="1">28.2*OFFSET(F$113,MATCH($N$1,$C$113:$C$114,0)-1,0)</f>
        <v>28.2</v>
      </c>
      <c r="G38" s="88">
        <f ca="1">31.8*OFFSET(G$113,MATCH($N$1,$C$113:$C$114,0)-1,0)</f>
        <v>31.8</v>
      </c>
      <c r="H38" s="88">
        <f ca="1">57.9*OFFSET(H$113,MATCH($N$1,$C$113:$C$114,0)-1,0)</f>
        <v>57.9</v>
      </c>
      <c r="I38" s="88">
        <f ca="1">70.5*OFFSET(I$113,MATCH($N$1,$C$113:$C$114,0)-1,0)</f>
        <v>70.5</v>
      </c>
      <c r="J38" s="88">
        <f ca="1">74*OFFSET(J$113,MATCH($N$1,$C$113:$C$114,0)-1,0)</f>
        <v>74</v>
      </c>
      <c r="K38" s="88">
        <f ca="1">102.4*OFFSET(K$113,MATCH($N$1,$C$113:$C$114,0)-1,0)</f>
        <v>102.4</v>
      </c>
      <c r="L38" s="88">
        <f ca="1">27.8*OFFSET(L$113,MATCH($N$1,$C$113:$C$114,0)-1,0)</f>
        <v>27.8</v>
      </c>
      <c r="M38" s="88">
        <f ca="1">39.4*OFFSET(M$113,MATCH($N$1,$C$113:$C$114,0)-1,0)</f>
        <v>39.4</v>
      </c>
      <c r="N38" s="88">
        <v>2.9</v>
      </c>
      <c r="O38" s="84">
        <f t="shared" ca="1" si="0"/>
        <v>-0.79136690647482011</v>
      </c>
      <c r="P38" s="84">
        <f t="shared" ca="1" si="1"/>
        <v>-0.96081081081081077</v>
      </c>
    </row>
    <row r="39" spans="1:16" s="78" customFormat="1" ht="18" customHeight="1">
      <c r="A39" s="192"/>
      <c r="B39" s="85" t="s">
        <v>220</v>
      </c>
      <c r="C39" s="86"/>
      <c r="D39" s="86"/>
      <c r="E39" s="86">
        <f ca="1">6.4*OFFSET(E$113,MATCH($N$1,$C$113:$C$114,0)-1,0)</f>
        <v>6.4</v>
      </c>
      <c r="F39" s="86">
        <f ca="1">2.1*OFFSET(F$113,MATCH($N$1,$C$113:$C$114,0)-1,0)</f>
        <v>2.1</v>
      </c>
      <c r="G39" s="86">
        <f ca="1">4.1*OFFSET(G$113,MATCH($N$1,$C$113:$C$114,0)-1,0)</f>
        <v>4.0999999999999996</v>
      </c>
      <c r="H39" s="86"/>
      <c r="I39" s="86">
        <f ca="1">3*OFFSET(I$113,MATCH($N$1,$C$113:$C$114,0)-1,0)</f>
        <v>3</v>
      </c>
      <c r="J39" s="86">
        <f ca="1">5.3*OFFSET(J$113,MATCH($N$1,$C$113:$C$114,0)-1,0)</f>
        <v>5.3</v>
      </c>
      <c r="K39" s="86">
        <f ca="1">11.8*OFFSET(K$113,MATCH($N$1,$C$113:$C$114,0)-1,0)</f>
        <v>11.8</v>
      </c>
      <c r="L39" s="86">
        <f ca="1">7.7*OFFSET(L$113,MATCH($N$1,$C$113:$C$114,0)-1,0)</f>
        <v>7.7</v>
      </c>
      <c r="M39" s="86">
        <f ca="1">9.4*OFFSET(M$113,MATCH($N$1,$C$113:$C$114,0)-1,0)</f>
        <v>9.4</v>
      </c>
      <c r="N39" s="86"/>
      <c r="O39" s="84" t="str">
        <f t="shared" si="0"/>
        <v/>
      </c>
      <c r="P39" s="84" t="str">
        <f t="shared" si="1"/>
        <v/>
      </c>
    </row>
    <row r="40" spans="1:16" s="78" customFormat="1" ht="18" customHeight="1">
      <c r="A40" s="192"/>
      <c r="B40" s="85" t="s">
        <v>221</v>
      </c>
      <c r="C40" s="86"/>
      <c r="D40" s="86"/>
      <c r="E40" s="86">
        <f ca="1">0.4*OFFSET(E$113,MATCH($N$1,$C$113:$C$114,0)-1,0)</f>
        <v>0.4</v>
      </c>
      <c r="F40" s="86"/>
      <c r="G40" s="86">
        <f ca="1">8.3*OFFSET(G$113,MATCH($N$1,$C$113:$C$114,0)-1,0)</f>
        <v>8.3000000000000007</v>
      </c>
      <c r="H40" s="86">
        <f ca="1">8.9*OFFSET(H$113,MATCH($N$1,$C$113:$C$114,0)-1,0)</f>
        <v>8.9</v>
      </c>
      <c r="I40" s="86">
        <f ca="1">10.8*OFFSET(I$113,MATCH($N$1,$C$113:$C$114,0)-1,0)</f>
        <v>10.8</v>
      </c>
      <c r="J40" s="86">
        <f ca="1">7.6*OFFSET(J$113,MATCH($N$1,$C$113:$C$114,0)-1,0)</f>
        <v>7.6</v>
      </c>
      <c r="K40" s="86">
        <f ca="1">2.8*OFFSET(K$113,MATCH($N$1,$C$113:$C$114,0)-1,0)</f>
        <v>2.8</v>
      </c>
      <c r="L40" s="86">
        <f ca="1">4.3*OFFSET(L$113,MATCH($N$1,$C$113:$C$114,0)-1,0)</f>
        <v>4.3</v>
      </c>
      <c r="M40" s="86">
        <f ca="1">4.2*OFFSET(M$113,MATCH($N$1,$C$113:$C$114,0)-1,0)</f>
        <v>4.2</v>
      </c>
      <c r="N40" s="86"/>
      <c r="O40" s="84" t="str">
        <f t="shared" si="0"/>
        <v/>
      </c>
      <c r="P40" s="84" t="str">
        <f t="shared" si="1"/>
        <v/>
      </c>
    </row>
    <row r="41" spans="1:16" s="78" customFormat="1" ht="18" customHeight="1">
      <c r="A41" s="192"/>
      <c r="B41" s="85" t="s">
        <v>222</v>
      </c>
      <c r="C41" s="86"/>
      <c r="D41" s="86"/>
      <c r="E41" s="86"/>
      <c r="F41" s="86"/>
      <c r="G41" s="86"/>
      <c r="H41" s="86"/>
      <c r="I41" s="86">
        <f ca="1">1.7*OFFSET(I$113,MATCH($N$1,$C$113:$C$114,0)-1,0)</f>
        <v>1.7</v>
      </c>
      <c r="J41" s="86">
        <f ca="1">0.8*OFFSET(J$113,MATCH($N$1,$C$113:$C$114,0)-1,0)</f>
        <v>0.8</v>
      </c>
      <c r="K41" s="86">
        <f ca="1">4.8*OFFSET(K$113,MATCH($N$1,$C$113:$C$114,0)-1,0)</f>
        <v>4.8</v>
      </c>
      <c r="L41" s="86">
        <f ca="1">21.6*OFFSET(L$113,MATCH($N$1,$C$113:$C$114,0)-1,0)</f>
        <v>21.6</v>
      </c>
      <c r="M41" s="86">
        <f ca="1">1.2*OFFSET(M$113,MATCH($N$1,$C$113:$C$114,0)-1,0)</f>
        <v>1.2</v>
      </c>
      <c r="N41" s="86"/>
      <c r="O41" s="84" t="str">
        <f t="shared" si="0"/>
        <v/>
      </c>
      <c r="P41" s="84" t="str">
        <f t="shared" si="1"/>
        <v/>
      </c>
    </row>
    <row r="42" spans="1:16" s="78" customFormat="1" ht="18" customHeight="1" thickBot="1">
      <c r="A42" s="193"/>
      <c r="B42" s="89" t="s">
        <v>223</v>
      </c>
      <c r="C42" s="90"/>
      <c r="D42" s="90"/>
      <c r="E42" s="90">
        <f ca="1">12.9*OFFSET(E$113,MATCH($N$1,$C$113:$C$114,0)-1,0)</f>
        <v>12.9</v>
      </c>
      <c r="F42" s="90">
        <f ca="1">26.1*OFFSET(F$113,MATCH($N$1,$C$113:$C$114,0)-1,0)</f>
        <v>26.1</v>
      </c>
      <c r="G42" s="90">
        <f ca="1">19.4*OFFSET(G$113,MATCH($N$1,$C$113:$C$114,0)-1,0)</f>
        <v>19.399999999999999</v>
      </c>
      <c r="H42" s="90">
        <f ca="1">49*OFFSET(H$113,MATCH($N$1,$C$113:$C$114,0)-1,0)</f>
        <v>49</v>
      </c>
      <c r="I42" s="90">
        <f ca="1">55*OFFSET(I$113,MATCH($N$1,$C$113:$C$114,0)-1,0)</f>
        <v>55</v>
      </c>
      <c r="J42" s="90">
        <f ca="1">60.4*OFFSET(J$113,MATCH($N$1,$C$113:$C$114,0)-1,0)</f>
        <v>60.4</v>
      </c>
      <c r="K42" s="90">
        <f ca="1">83.1*OFFSET(K$113,MATCH($N$1,$C$113:$C$114,0)-1,0)</f>
        <v>83.1</v>
      </c>
      <c r="L42" s="90">
        <f ca="1">-5.8*OFFSET(L$113,MATCH($N$1,$C$113:$C$114,0)-1,0)</f>
        <v>-5.8</v>
      </c>
      <c r="M42" s="90">
        <f ca="1">24.5*OFFSET(M$113,MATCH($N$1,$C$113:$C$114,0)-1,0)</f>
        <v>24.5</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158</v>
      </c>
      <c r="F47" s="99" t="s">
        <v>158</v>
      </c>
      <c r="G47" s="99" t="s">
        <v>158</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Area VIIA demersal trawl</v>
      </c>
      <c r="C49" s="101"/>
      <c r="D49" s="101"/>
      <c r="E49" s="101"/>
      <c r="F49" s="101"/>
      <c r="G49" s="101"/>
      <c r="K49" s="101" t="str">
        <f>$B25&amp;CHAR(10)&amp;$A$1</f>
        <v>Operating profit per kW day at sea (£)
Area VIIA demersal trawl</v>
      </c>
    </row>
    <row r="50" spans="1:11" s="78" customFormat="1">
      <c r="A50" s="101" t="str">
        <f>$B23&amp;CHAR(10)&amp;$A$1</f>
        <v>Fishing income per kW day at sea (£)
Area VIIA demersal trawl</v>
      </c>
    </row>
    <row r="51" spans="1:11" s="78" customFormat="1">
      <c r="A51" s="101" t="str">
        <f>$B21&amp;CHAR(10)&amp;$A$1</f>
        <v>Average price per tonne landed (£)
Area VIIA demersal trawl</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Area VIIA demersal trawl</v>
      </c>
      <c r="F63" s="101" t="str">
        <f>$B21&amp;CHAR(10)&amp;$A$1</f>
        <v>Average price per tonne landed (£)
Area VIIA demersal trawl</v>
      </c>
      <c r="K63" s="101" t="str">
        <f>"Average annual operating profit per vessel (£'000)"&amp;CHAR(10)&amp;$A$1</f>
        <v>Average annual operating profit per vessel (£'000)
Area VIIA demersal trawl</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Area VIIA demersal trawl</v>
      </c>
      <c r="F77" s="101" t="str">
        <f>"Top 5 landed species by value in "&amp;A78&amp;CHAR(10)&amp;A1</f>
        <v>Top 5 landed species by value in 2021
Area VIIA demersal trawl</v>
      </c>
    </row>
    <row r="78" spans="1:11" s="101" customFormat="1">
      <c r="A78" s="101">
        <v>2021</v>
      </c>
      <c r="B78" s="101" t="s">
        <v>235</v>
      </c>
      <c r="C78" s="102">
        <v>0.56587018050910443</v>
      </c>
      <c r="D78" s="103">
        <v>12153634</v>
      </c>
      <c r="G78" s="101" t="s">
        <v>236</v>
      </c>
      <c r="H78" s="102">
        <v>0.43044225298700872</v>
      </c>
      <c r="I78" s="103">
        <v>12153634</v>
      </c>
      <c r="K78" s="101" t="s">
        <v>237</v>
      </c>
    </row>
    <row r="79" spans="1:11" s="101" customFormat="1">
      <c r="B79" s="101" t="s">
        <v>238</v>
      </c>
      <c r="C79" s="102">
        <v>0.10519283356056867</v>
      </c>
      <c r="D79" s="103">
        <v>553960</v>
      </c>
      <c r="G79" s="101" t="s">
        <v>239</v>
      </c>
      <c r="H79" s="102">
        <v>0.1458970705582418</v>
      </c>
      <c r="I79" s="103">
        <v>553960</v>
      </c>
    </row>
    <row r="80" spans="1:11" s="101" customFormat="1">
      <c r="B80" s="101" t="s">
        <v>240</v>
      </c>
      <c r="C80" s="102">
        <v>7.4981086558850774E-2</v>
      </c>
      <c r="D80" s="103">
        <v>3050596</v>
      </c>
      <c r="G80" s="101" t="s">
        <v>241</v>
      </c>
      <c r="H80" s="102">
        <v>0.13422708547620046</v>
      </c>
      <c r="I80" s="103">
        <v>3050596</v>
      </c>
    </row>
    <row r="81" spans="1:19" s="101" customFormat="1">
      <c r="B81" s="101" t="s">
        <v>242</v>
      </c>
      <c r="C81" s="102">
        <v>7.1867904973284713E-2</v>
      </c>
      <c r="D81" s="103">
        <v>11115023</v>
      </c>
      <c r="G81" s="101" t="s">
        <v>243</v>
      </c>
      <c r="H81" s="102">
        <v>0.11203977488618937</v>
      </c>
      <c r="I81" s="103">
        <v>1692097</v>
      </c>
    </row>
    <row r="82" spans="1:19" s="101" customFormat="1">
      <c r="B82" s="101" t="s">
        <v>244</v>
      </c>
      <c r="C82" s="102">
        <v>6.9663852590611031E-2</v>
      </c>
      <c r="D82" s="103">
        <v>3689192</v>
      </c>
      <c r="G82" s="101" t="s">
        <v>245</v>
      </c>
      <c r="H82" s="102">
        <v>0.1038239321780841</v>
      </c>
      <c r="I82" s="103">
        <v>3689192</v>
      </c>
    </row>
    <row r="83" spans="1:19" s="101" customFormat="1">
      <c r="B83" s="101" t="s">
        <v>246</v>
      </c>
      <c r="C83" s="102">
        <v>0.11242414180758042</v>
      </c>
      <c r="D83" s="103">
        <v>5920853</v>
      </c>
      <c r="G83" s="101" t="s">
        <v>247</v>
      </c>
      <c r="H83" s="102">
        <v>7.3569883914275658E-2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156</v>
      </c>
      <c r="D93" s="107"/>
      <c r="E93" s="107">
        <v>0.18475703770282353</v>
      </c>
      <c r="F93" s="107">
        <v>0.18509473775805435</v>
      </c>
      <c r="G93" s="107">
        <v>0.14095118748752727</v>
      </c>
      <c r="H93" s="107">
        <v>0.31369138265357754</v>
      </c>
      <c r="I93" s="107">
        <v>0.53611858184830874</v>
      </c>
      <c r="J93" s="107">
        <v>0.40628106551979815</v>
      </c>
      <c r="K93" s="107">
        <v>0.52434994284846514</v>
      </c>
      <c r="L93" s="107">
        <v>0.43044225298700872</v>
      </c>
      <c r="M93" s="107">
        <v>0.42350824790722097</v>
      </c>
      <c r="O93" s="101">
        <v>12153634</v>
      </c>
    </row>
    <row r="94" spans="1:19" s="101" customFormat="1" hidden="1">
      <c r="B94" s="101">
        <v>2</v>
      </c>
      <c r="C94" s="101" t="s">
        <v>176</v>
      </c>
      <c r="D94" s="107">
        <v>0.38733157832894249</v>
      </c>
      <c r="E94" s="107">
        <v>0.3340953238772762</v>
      </c>
      <c r="F94" s="107">
        <v>0.33304159522524074</v>
      </c>
      <c r="G94" s="107">
        <v>0.34426993730503747</v>
      </c>
      <c r="H94" s="107">
        <v>0.1205802533288778</v>
      </c>
      <c r="I94" s="107">
        <v>0.1065323825737563</v>
      </c>
      <c r="J94" s="107">
        <v>6.6300255701473063E-2</v>
      </c>
      <c r="K94" s="107">
        <v>4.9793348511539805E-2</v>
      </c>
      <c r="L94" s="107">
        <v>0.1458970705582418</v>
      </c>
      <c r="M94" s="107">
        <v>7.5859071713846857E-2</v>
      </c>
      <c r="O94" s="101">
        <v>553960</v>
      </c>
    </row>
    <row r="95" spans="1:19" s="101" customFormat="1" hidden="1">
      <c r="B95" s="101">
        <v>3</v>
      </c>
      <c r="C95" s="101" t="s">
        <v>165</v>
      </c>
      <c r="D95" s="107"/>
      <c r="E95" s="107"/>
      <c r="F95" s="107"/>
      <c r="G95" s="107">
        <v>4.5677254831268804E-2</v>
      </c>
      <c r="H95" s="107">
        <v>9.2620643168970174E-2</v>
      </c>
      <c r="I95" s="107">
        <v>5.2552667179459236E-2</v>
      </c>
      <c r="J95" s="107">
        <v>7.0965070245495004E-2</v>
      </c>
      <c r="K95" s="107">
        <v>0.12407899588324485</v>
      </c>
      <c r="L95" s="107">
        <v>0.13422708547620046</v>
      </c>
      <c r="M95" s="107">
        <v>0.16179799496300193</v>
      </c>
      <c r="O95" s="101">
        <v>3050596</v>
      </c>
    </row>
    <row r="96" spans="1:19" s="101" customFormat="1" hidden="1">
      <c r="B96" s="101">
        <v>4</v>
      </c>
      <c r="C96" s="101" t="s">
        <v>168</v>
      </c>
      <c r="D96" s="107"/>
      <c r="E96" s="107">
        <v>1.5140846160567881E-2</v>
      </c>
      <c r="F96" s="107"/>
      <c r="G96" s="107"/>
      <c r="H96" s="107"/>
      <c r="I96" s="107">
        <v>6.1363132431618832E-2</v>
      </c>
      <c r="J96" s="107">
        <v>0.11965600146536562</v>
      </c>
      <c r="K96" s="107">
        <v>0.16597639842159237</v>
      </c>
      <c r="L96" s="107">
        <v>0.11203977488618937</v>
      </c>
      <c r="M96" s="107">
        <v>0.12075880116611465</v>
      </c>
      <c r="O96" s="101">
        <v>1692097</v>
      </c>
    </row>
    <row r="97" spans="1:15" s="101" customFormat="1" hidden="1">
      <c r="B97" s="101">
        <v>5</v>
      </c>
      <c r="C97" s="101" t="s">
        <v>159</v>
      </c>
      <c r="D97" s="107">
        <v>0.26683032314520816</v>
      </c>
      <c r="E97" s="107">
        <v>0.35806069120247969</v>
      </c>
      <c r="F97" s="107">
        <v>0.29548537650867479</v>
      </c>
      <c r="G97" s="107">
        <v>0.32703354343123714</v>
      </c>
      <c r="H97" s="107">
        <v>0.21831519843838579</v>
      </c>
      <c r="I97" s="107">
        <v>0.10699198893965008</v>
      </c>
      <c r="J97" s="107">
        <v>0.17620025921470323</v>
      </c>
      <c r="K97" s="107"/>
      <c r="L97" s="107">
        <v>0.1038239321780841</v>
      </c>
      <c r="M97" s="107">
        <v>7.47693622899053E-2</v>
      </c>
      <c r="O97" s="101">
        <v>3689192</v>
      </c>
    </row>
    <row r="98" spans="1:15" s="101" customFormat="1" hidden="1">
      <c r="B98" s="101">
        <v>6</v>
      </c>
      <c r="C98" s="101" t="s">
        <v>248</v>
      </c>
      <c r="D98" s="107"/>
      <c r="E98" s="107"/>
      <c r="F98" s="107"/>
      <c r="G98" s="107"/>
      <c r="H98" s="107"/>
      <c r="I98" s="107"/>
      <c r="J98" s="107"/>
      <c r="K98" s="107">
        <v>3.5330231092108026E-2</v>
      </c>
      <c r="L98" s="107"/>
      <c r="M98" s="107"/>
      <c r="O98" s="101">
        <v>11115023</v>
      </c>
    </row>
    <row r="99" spans="1:15" s="101" customFormat="1" hidden="1">
      <c r="B99" s="101">
        <v>7</v>
      </c>
      <c r="C99" s="101" t="s">
        <v>180</v>
      </c>
      <c r="D99" s="107"/>
      <c r="E99" s="107"/>
      <c r="F99" s="107"/>
      <c r="G99" s="107"/>
      <c r="H99" s="107">
        <v>8.9816671902989781E-2</v>
      </c>
      <c r="I99" s="107"/>
      <c r="J99" s="107"/>
      <c r="K99" s="107"/>
      <c r="L99" s="107"/>
      <c r="M99" s="107"/>
      <c r="O99" s="101">
        <v>2480382</v>
      </c>
    </row>
    <row r="100" spans="1:15" s="101" customFormat="1" hidden="1">
      <c r="B100" s="101">
        <v>8</v>
      </c>
      <c r="C100" s="101" t="s">
        <v>174</v>
      </c>
      <c r="D100" s="107">
        <v>0.17533836455942456</v>
      </c>
      <c r="E100" s="107">
        <v>6.188177921772104E-2</v>
      </c>
      <c r="F100" s="107">
        <v>5.4731063819688765E-2</v>
      </c>
      <c r="G100" s="107">
        <v>5.6464501401313559E-2</v>
      </c>
      <c r="H100" s="107"/>
      <c r="I100" s="107"/>
      <c r="J100" s="107"/>
      <c r="K100" s="107"/>
      <c r="L100" s="107"/>
      <c r="M100" s="107"/>
      <c r="O100" s="101">
        <v>7434864</v>
      </c>
    </row>
    <row r="101" spans="1:15" s="101" customFormat="1" hidden="1">
      <c r="B101" s="101">
        <v>9</v>
      </c>
      <c r="C101" s="101" t="s">
        <v>249</v>
      </c>
      <c r="D101" s="107">
        <v>0.11232418758713179</v>
      </c>
      <c r="E101" s="107"/>
      <c r="F101" s="107">
        <v>4.8271957979587034E-2</v>
      </c>
      <c r="G101" s="107"/>
      <c r="H101" s="107"/>
      <c r="I101" s="107"/>
      <c r="J101" s="107"/>
      <c r="K101" s="107"/>
      <c r="L101" s="107"/>
      <c r="M101" s="107"/>
      <c r="O101" s="101">
        <v>8497745</v>
      </c>
    </row>
    <row r="102" spans="1:15" s="101" customFormat="1" hidden="1">
      <c r="B102" s="101">
        <v>10</v>
      </c>
      <c r="C102" s="101" t="s">
        <v>250</v>
      </c>
      <c r="D102" s="107">
        <v>2.8402393700316105E-2</v>
      </c>
      <c r="E102" s="107"/>
      <c r="F102" s="107"/>
      <c r="G102" s="107"/>
      <c r="H102" s="107"/>
      <c r="I102" s="107"/>
      <c r="J102" s="107"/>
      <c r="K102" s="107"/>
      <c r="L102" s="107"/>
      <c r="M102" s="107"/>
      <c r="O102" s="101">
        <v>14393110</v>
      </c>
    </row>
    <row r="103" spans="1:15" s="101" customFormat="1" hidden="1">
      <c r="B103" s="101">
        <v>11</v>
      </c>
      <c r="C103" s="101" t="s">
        <v>251</v>
      </c>
      <c r="D103" s="107">
        <v>2.9773152678976875E-2</v>
      </c>
      <c r="E103" s="107">
        <v>4.6064321839131686E-2</v>
      </c>
      <c r="F103" s="107">
        <v>8.3375268708754322E-2</v>
      </c>
      <c r="G103" s="107">
        <v>8.5603575543615751E-2</v>
      </c>
      <c r="H103" s="107">
        <v>0.16497585050719896</v>
      </c>
      <c r="I103" s="107">
        <v>0.13644124702720675</v>
      </c>
      <c r="J103" s="107">
        <v>0.16059734785316496</v>
      </c>
      <c r="K103" s="107">
        <v>0.10047108324304985</v>
      </c>
      <c r="L103" s="107">
        <v>7.3569883914275533E-2</v>
      </c>
      <c r="M103" s="107">
        <v>0.14330652195991028</v>
      </c>
      <c r="O103" s="101">
        <v>5920853</v>
      </c>
    </row>
    <row r="104" spans="1:15" s="101" customFormat="1" hidden="1">
      <c r="B104" s="101">
        <v>12</v>
      </c>
      <c r="D104" s="107"/>
      <c r="E104" s="107"/>
      <c r="F104" s="107"/>
      <c r="G104" s="107"/>
      <c r="H104" s="107"/>
      <c r="I104" s="107"/>
      <c r="J104" s="107"/>
      <c r="K104" s="107"/>
      <c r="L104" s="107"/>
      <c r="M104" s="107"/>
      <c r="O104" s="101">
        <v>15057844</v>
      </c>
    </row>
    <row r="105" spans="1:15" s="101" customFormat="1" hidden="1">
      <c r="B105" s="101">
        <v>13</v>
      </c>
      <c r="D105" s="107"/>
      <c r="E105" s="107"/>
      <c r="F105" s="107"/>
      <c r="G105" s="107"/>
      <c r="H105" s="107"/>
      <c r="I105" s="107"/>
      <c r="J105" s="107"/>
      <c r="K105" s="107"/>
      <c r="L105" s="107"/>
      <c r="M105" s="107"/>
      <c r="O105" s="101">
        <v>10603512</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12</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t="s">
        <v>259</v>
      </c>
      <c r="D121" s="52" t="s">
        <v>259</v>
      </c>
      <c r="E121" s="52" t="s">
        <v>259</v>
      </c>
      <c r="F121" s="53">
        <v>7</v>
      </c>
    </row>
    <row r="122" spans="1:15" ht="18" customHeight="1">
      <c r="A122" s="186" t="s">
        <v>198</v>
      </c>
      <c r="B122" s="35" t="s">
        <v>199</v>
      </c>
      <c r="C122" s="54"/>
      <c r="D122" s="54"/>
      <c r="E122" s="54"/>
      <c r="F122" s="55">
        <v>19.122856140136719</v>
      </c>
    </row>
    <row r="123" spans="1:15" ht="18" customHeight="1">
      <c r="A123" s="187"/>
      <c r="B123" s="37" t="s">
        <v>190</v>
      </c>
      <c r="C123" s="56"/>
      <c r="D123" s="56"/>
      <c r="E123" s="56"/>
      <c r="F123" s="57">
        <v>343.28570556640625</v>
      </c>
    </row>
    <row r="124" spans="1:15" ht="18" customHeight="1">
      <c r="A124" s="187"/>
      <c r="B124" s="37" t="s">
        <v>191</v>
      </c>
      <c r="C124" s="56"/>
      <c r="D124" s="56"/>
      <c r="E124" s="56"/>
      <c r="F124" s="57">
        <v>102.42857360839844</v>
      </c>
    </row>
    <row r="125" spans="1:15" ht="18" customHeight="1">
      <c r="A125" s="187"/>
      <c r="B125" s="37" t="s">
        <v>192</v>
      </c>
      <c r="C125" s="56"/>
      <c r="D125" s="56"/>
      <c r="E125" s="56"/>
      <c r="F125" s="57">
        <v>274.19244384765625</v>
      </c>
    </row>
    <row r="126" spans="1:15" ht="18" customHeight="1">
      <c r="A126" s="187"/>
      <c r="B126" s="37" t="s">
        <v>193</v>
      </c>
      <c r="C126" s="33"/>
      <c r="D126" s="33"/>
      <c r="E126" s="33"/>
      <c r="F126" s="58">
        <v>197.26667785644531</v>
      </c>
    </row>
    <row r="127" spans="1:15" ht="18" customHeight="1">
      <c r="A127" s="187"/>
      <c r="B127" s="37" t="s">
        <v>200</v>
      </c>
      <c r="C127" s="33"/>
      <c r="D127" s="33"/>
      <c r="E127" s="33"/>
      <c r="F127" s="58">
        <f ca="1">302.059375*OFFSET($L$113,MATCH($N$1,$C$113:$C$114,0)-1,0)</f>
        <v>302.05937499999999</v>
      </c>
    </row>
    <row r="128" spans="1:15" ht="18" customHeight="1">
      <c r="A128" s="187"/>
      <c r="B128" s="37" t="s">
        <v>195</v>
      </c>
      <c r="C128" s="56"/>
      <c r="D128" s="56"/>
      <c r="E128" s="56"/>
      <c r="F128" s="57">
        <v>178.42857360839844</v>
      </c>
    </row>
    <row r="129" spans="1:15" ht="18" customHeight="1">
      <c r="A129" s="187"/>
      <c r="B129" s="37" t="s">
        <v>201</v>
      </c>
      <c r="C129" s="56"/>
      <c r="D129" s="56"/>
      <c r="E129" s="56"/>
      <c r="F129" s="57">
        <v>36.285713195800781</v>
      </c>
    </row>
    <row r="130" spans="1:15" ht="18" customHeight="1">
      <c r="A130" s="187"/>
      <c r="B130" s="37" t="s">
        <v>202</v>
      </c>
      <c r="C130" s="59"/>
      <c r="D130" s="59"/>
      <c r="E130" s="59"/>
      <c r="F130" s="60">
        <v>1.105577826499939</v>
      </c>
    </row>
    <row r="131" spans="1:15" ht="18" customHeight="1">
      <c r="A131" s="188"/>
      <c r="B131" s="39" t="s">
        <v>203</v>
      </c>
      <c r="C131" s="40"/>
      <c r="D131" s="40"/>
      <c r="E131" s="40"/>
      <c r="F131" s="61">
        <f ca="1">1531*OFFSET($L$113,MATCH($N$1,$C$113:$C$114,0)-1,0)</f>
        <v>1531</v>
      </c>
    </row>
    <row r="132" spans="1:15" ht="18" customHeight="1">
      <c r="A132" s="198" t="s">
        <v>204</v>
      </c>
      <c r="B132" s="35" t="s">
        <v>205</v>
      </c>
      <c r="C132" s="62"/>
      <c r="D132" s="62"/>
      <c r="E132" s="62"/>
      <c r="F132" s="63">
        <v>3.1720800613188072</v>
      </c>
    </row>
    <row r="133" spans="1:15" ht="18" customHeight="1">
      <c r="A133" s="199"/>
      <c r="B133" s="37" t="s">
        <v>206</v>
      </c>
      <c r="C133" s="59"/>
      <c r="D133" s="59"/>
      <c r="E133" s="59"/>
      <c r="F133" s="60">
        <f ca="1">4.85716356752958*OFFSET($L$113,MATCH($N$1,$C$113:$C$114,0)-1,0)</f>
        <v>4.8571635675295797</v>
      </c>
    </row>
    <row r="134" spans="1:15" ht="18" customHeight="1">
      <c r="A134" s="199"/>
      <c r="B134" s="37" t="s">
        <v>153</v>
      </c>
      <c r="C134" s="59"/>
      <c r="D134" s="59"/>
      <c r="E134" s="59"/>
      <c r="F134" s="60">
        <f ca="1">4.22385098765483*OFFSET($L$113,MATCH($N$1,$C$113:$C$114,0)-1,0)</f>
        <v>4.2238509876548296</v>
      </c>
    </row>
    <row r="135" spans="1:15" ht="18" customHeight="1">
      <c r="A135" s="200"/>
      <c r="B135" s="39" t="s">
        <v>154</v>
      </c>
      <c r="C135" s="64"/>
      <c r="D135" s="64"/>
      <c r="E135" s="64"/>
      <c r="F135" s="65">
        <f ca="1">0.633312579874748*OFFSET($L$113,MATCH($N$1,$C$113:$C$114,0)-1,0)</f>
        <v>0.63331257987474798</v>
      </c>
    </row>
    <row r="136" spans="1:15" ht="18" customHeight="1">
      <c r="A136" s="201" t="s">
        <v>260</v>
      </c>
      <c r="B136" s="37" t="s">
        <v>261</v>
      </c>
      <c r="C136" s="66"/>
      <c r="D136" s="66"/>
      <c r="E136" s="66"/>
      <c r="F136" s="67">
        <f ca="1">69.9715390625*OFFSET($L$113,MATCH($N$1,$C$113:$C$114,0)-1,0)</f>
        <v>69.9715390625</v>
      </c>
    </row>
    <row r="137" spans="1:15" ht="18" customHeight="1">
      <c r="A137" s="202"/>
      <c r="B137" s="37" t="s">
        <v>262</v>
      </c>
      <c r="C137" s="31"/>
      <c r="D137" s="31"/>
      <c r="E137" s="31"/>
      <c r="F137" s="68">
        <v>147285.71428571429</v>
      </c>
    </row>
    <row r="138" spans="1:15" ht="18" customHeight="1">
      <c r="A138" s="202"/>
      <c r="B138" s="37" t="s">
        <v>263</v>
      </c>
      <c r="C138" s="31"/>
      <c r="D138" s="31"/>
      <c r="E138" s="31"/>
      <c r="F138" s="68">
        <v>825.46038818359375</v>
      </c>
    </row>
    <row r="139" spans="1:15" ht="18" customHeight="1">
      <c r="A139" s="202"/>
      <c r="B139" s="37" t="s">
        <v>264</v>
      </c>
      <c r="C139" s="31"/>
      <c r="D139" s="31"/>
      <c r="E139" s="31"/>
      <c r="F139" s="68">
        <f ca="1">392.154337432906*OFFSET($L$113,MATCH($N$1,$C$113:$C$114,0)-1,0)</f>
        <v>392.154337432906</v>
      </c>
      <c r="I139" s="43"/>
      <c r="L139" s="69" t="str">
        <f>C120</f>
        <v>Most
profitable
quartile</v>
      </c>
      <c r="M139" s="69" t="str">
        <f>D120</f>
        <v>Middle
two quartiles</v>
      </c>
      <c r="N139" s="69" t="str">
        <f>E120</f>
        <v>Least
profitable
quartile</v>
      </c>
      <c r="O139" s="69"/>
    </row>
    <row r="140" spans="1:15" ht="18" customHeight="1">
      <c r="A140" s="202"/>
      <c r="B140" s="37" t="s">
        <v>265</v>
      </c>
      <c r="C140" s="31"/>
      <c r="D140" s="31"/>
      <c r="E140" s="31"/>
      <c r="F140" s="68">
        <f ca="1">354.705314768973*OFFSET($L$113,MATCH($N$1,$C$113:$C$114,0)-1,0)</f>
        <v>354.70531476897298</v>
      </c>
      <c r="I140" s="43"/>
      <c r="K140" s="69" t="s">
        <v>266</v>
      </c>
      <c r="L140" s="70">
        <f t="shared" ref="L140:M142" si="2">C141</f>
        <v>0</v>
      </c>
      <c r="M140" s="70">
        <f t="shared" si="2"/>
        <v>0</v>
      </c>
      <c r="N140" s="70">
        <f>E141</f>
        <v>0</v>
      </c>
      <c r="O140" s="70"/>
    </row>
    <row r="141" spans="1:15" ht="18" customHeight="1">
      <c r="A141" s="179" t="s">
        <v>267</v>
      </c>
      <c r="B141" s="35" t="s">
        <v>268</v>
      </c>
      <c r="C141" s="71"/>
      <c r="D141" s="71"/>
      <c r="E141" s="71"/>
      <c r="F141" s="72">
        <f ca="1">323.75971875*OFFSET($L$113,MATCH($N$1,$C$113:$C$114,0)-1,0)</f>
        <v>323.75971874999999</v>
      </c>
      <c r="I141" s="43"/>
      <c r="K141" s="69" t="s">
        <v>269</v>
      </c>
      <c r="L141" s="70">
        <f t="shared" si="2"/>
        <v>0</v>
      </c>
      <c r="M141" s="70">
        <f t="shared" si="2"/>
        <v>0</v>
      </c>
      <c r="N141" s="70">
        <f>E142</f>
        <v>0</v>
      </c>
      <c r="O141" s="70"/>
    </row>
    <row r="142" spans="1:15" ht="18" customHeight="1">
      <c r="A142" s="180"/>
      <c r="B142" s="37" t="s">
        <v>270</v>
      </c>
      <c r="C142" s="31"/>
      <c r="D142" s="31"/>
      <c r="E142" s="31"/>
      <c r="F142" s="68">
        <f ca="1">284.375*OFFSET($L$113,MATCH($N$1,$C$113:$C$114,0)-1,0)</f>
        <v>284.375</v>
      </c>
      <c r="I142" s="43"/>
      <c r="K142" s="69" t="s">
        <v>271</v>
      </c>
      <c r="L142" s="70">
        <f t="shared" si="2"/>
        <v>0</v>
      </c>
      <c r="M142" s="70">
        <f t="shared" si="2"/>
        <v>0</v>
      </c>
      <c r="N142" s="70">
        <f>E143</f>
        <v>0</v>
      </c>
      <c r="O142" s="70"/>
    </row>
    <row r="143" spans="1:15" ht="18" customHeight="1">
      <c r="A143" s="181"/>
      <c r="B143" s="39" t="s">
        <v>272</v>
      </c>
      <c r="C143" s="40"/>
      <c r="D143" s="40"/>
      <c r="E143" s="40"/>
      <c r="F143" s="61">
        <f ca="1">39.38471484375*OFFSET($L$113,MATCH($N$1,$C$113:$C$114,0)-1,0)</f>
        <v>39.384714843749997</v>
      </c>
      <c r="I143" s="43"/>
      <c r="K143" s="69" t="s">
        <v>273</v>
      </c>
      <c r="L143" s="73" t="str">
        <f>IFERROR(L141/L$140,"")</f>
        <v/>
      </c>
      <c r="M143" s="73" t="str">
        <f t="shared" ref="M143:N144" si="3">IFERROR(M141/M$140,"")</f>
        <v/>
      </c>
      <c r="N143" s="73" t="str">
        <f t="shared" si="3"/>
        <v/>
      </c>
      <c r="O143" s="73"/>
    </row>
    <row r="144" spans="1:15" ht="18" customHeight="1">
      <c r="I144" s="43"/>
      <c r="K144" s="69" t="s">
        <v>274</v>
      </c>
      <c r="L144" s="73" t="str">
        <f>IFERROR(L142/L$140,"")</f>
        <v/>
      </c>
      <c r="M144" s="73" t="str">
        <f t="shared" si="3"/>
        <v/>
      </c>
      <c r="N144" s="73" t="str">
        <f t="shared" si="3"/>
        <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11</v>
      </c>
      <c r="B162" s="48"/>
      <c r="C162" s="74" t="s">
        <v>255</v>
      </c>
      <c r="D162" s="74" t="s">
        <v>276</v>
      </c>
      <c r="E162" s="74" t="s">
        <v>257</v>
      </c>
      <c r="F162" s="74" t="s">
        <v>277</v>
      </c>
      <c r="G162" s="75">
        <v>12</v>
      </c>
      <c r="H162" s="74"/>
      <c r="I162" s="74" t="s">
        <v>255</v>
      </c>
      <c r="J162" s="74" t="s">
        <v>276</v>
      </c>
      <c r="K162" s="74" t="s">
        <v>257</v>
      </c>
      <c r="L162" s="48" t="s">
        <v>277</v>
      </c>
      <c r="R162" s="21"/>
      <c r="S162" s="21"/>
    </row>
    <row r="163" spans="1:19" s="43" customFormat="1">
      <c r="A163" s="44">
        <v>1</v>
      </c>
      <c r="B163" s="48" t="s">
        <v>156</v>
      </c>
      <c r="C163" s="48">
        <v>0</v>
      </c>
      <c r="D163" s="48">
        <v>0</v>
      </c>
      <c r="E163" s="48">
        <v>0</v>
      </c>
      <c r="F163" s="44">
        <v>12153634</v>
      </c>
      <c r="G163" s="44">
        <v>1</v>
      </c>
      <c r="H163" s="48" t="s">
        <v>156</v>
      </c>
      <c r="I163" s="48">
        <v>0</v>
      </c>
      <c r="J163" s="48">
        <v>0</v>
      </c>
      <c r="K163" s="48">
        <v>0</v>
      </c>
      <c r="L163" s="44">
        <v>12153634</v>
      </c>
      <c r="R163" s="21"/>
      <c r="S163" s="21"/>
    </row>
    <row r="164" spans="1:19" s="43" customFormat="1">
      <c r="A164" s="44">
        <v>2</v>
      </c>
      <c r="B164" s="48" t="s">
        <v>165</v>
      </c>
      <c r="C164" s="48">
        <v>0</v>
      </c>
      <c r="D164" s="48">
        <v>0</v>
      </c>
      <c r="E164" s="48">
        <v>0</v>
      </c>
      <c r="F164" s="44">
        <v>3050596</v>
      </c>
      <c r="G164" s="44">
        <v>2</v>
      </c>
      <c r="H164" s="48" t="s">
        <v>165</v>
      </c>
      <c r="I164" s="48">
        <v>0</v>
      </c>
      <c r="J164" s="48">
        <v>0</v>
      </c>
      <c r="K164" s="48">
        <v>0</v>
      </c>
      <c r="L164" s="44">
        <v>3050596</v>
      </c>
      <c r="N164" s="43" t="s">
        <v>278</v>
      </c>
      <c r="R164" s="21"/>
      <c r="S164" s="21"/>
    </row>
    <row r="165" spans="1:19" s="43" customFormat="1">
      <c r="A165" s="44">
        <v>3</v>
      </c>
      <c r="B165" s="48" t="s">
        <v>176</v>
      </c>
      <c r="C165" s="48">
        <v>0</v>
      </c>
      <c r="D165" s="48">
        <v>0</v>
      </c>
      <c r="E165" s="48">
        <v>0</v>
      </c>
      <c r="F165" s="44">
        <v>553960</v>
      </c>
      <c r="G165" s="44">
        <v>3</v>
      </c>
      <c r="H165" s="48" t="s">
        <v>176</v>
      </c>
      <c r="I165" s="48">
        <v>0</v>
      </c>
      <c r="J165" s="48">
        <v>0</v>
      </c>
      <c r="K165" s="48">
        <v>0</v>
      </c>
      <c r="L165" s="44">
        <v>553960</v>
      </c>
      <c r="N165" s="43" t="s">
        <v>279</v>
      </c>
      <c r="R165" s="21"/>
      <c r="S165" s="21"/>
    </row>
    <row r="166" spans="1:19" s="43" customFormat="1">
      <c r="A166" s="44">
        <v>4</v>
      </c>
      <c r="B166" s="48" t="s">
        <v>159</v>
      </c>
      <c r="C166" s="48">
        <v>0</v>
      </c>
      <c r="D166" s="48">
        <v>0</v>
      </c>
      <c r="E166" s="48">
        <v>0</v>
      </c>
      <c r="F166" s="44">
        <v>3689192</v>
      </c>
      <c r="G166" s="44">
        <v>4</v>
      </c>
      <c r="H166" s="48" t="s">
        <v>159</v>
      </c>
      <c r="I166" s="48">
        <v>0</v>
      </c>
      <c r="J166" s="48">
        <v>0</v>
      </c>
      <c r="K166" s="48">
        <v>0</v>
      </c>
      <c r="L166" s="44">
        <v>3689192</v>
      </c>
      <c r="R166" s="21"/>
      <c r="S166" s="21"/>
    </row>
    <row r="167" spans="1:19" s="43" customFormat="1">
      <c r="A167" s="44">
        <v>5</v>
      </c>
      <c r="B167" s="48" t="s">
        <v>168</v>
      </c>
      <c r="C167" s="48">
        <v>0</v>
      </c>
      <c r="D167" s="48">
        <v>0</v>
      </c>
      <c r="E167" s="48">
        <v>0</v>
      </c>
      <c r="F167" s="44">
        <v>1692097</v>
      </c>
      <c r="G167" s="44">
        <v>5</v>
      </c>
      <c r="H167" s="48" t="s">
        <v>168</v>
      </c>
      <c r="I167" s="48">
        <v>0</v>
      </c>
      <c r="J167" s="48">
        <v>0</v>
      </c>
      <c r="K167" s="48">
        <v>0</v>
      </c>
      <c r="L167" s="44">
        <v>1692097</v>
      </c>
      <c r="R167" s="21"/>
      <c r="S167" s="21"/>
    </row>
    <row r="168" spans="1:19" s="43" customFormat="1">
      <c r="A168" s="44">
        <v>6</v>
      </c>
      <c r="B168" s="48" t="s">
        <v>169</v>
      </c>
      <c r="C168" s="48">
        <v>0</v>
      </c>
      <c r="D168" s="48">
        <v>0</v>
      </c>
      <c r="E168" s="48">
        <v>0</v>
      </c>
      <c r="F168" s="44">
        <v>2480382</v>
      </c>
      <c r="G168" s="44">
        <v>6</v>
      </c>
      <c r="H168" s="48" t="s">
        <v>169</v>
      </c>
      <c r="I168" s="48">
        <v>0</v>
      </c>
      <c r="J168" s="48">
        <v>0</v>
      </c>
      <c r="K168" s="48">
        <v>0</v>
      </c>
      <c r="L168" s="44">
        <v>2480382</v>
      </c>
      <c r="R168" s="21"/>
      <c r="S168" s="21"/>
    </row>
    <row r="169" spans="1:19" s="43" customFormat="1">
      <c r="A169" s="44">
        <v>7</v>
      </c>
      <c r="B169" s="48" t="s">
        <v>250</v>
      </c>
      <c r="C169" s="48">
        <v>0</v>
      </c>
      <c r="D169" s="48">
        <v>0</v>
      </c>
      <c r="E169" s="48">
        <v>0</v>
      </c>
      <c r="F169" s="44">
        <v>7434864</v>
      </c>
      <c r="G169" s="44">
        <v>7</v>
      </c>
      <c r="H169" s="48" t="s">
        <v>175</v>
      </c>
      <c r="I169" s="48">
        <v>0</v>
      </c>
      <c r="J169" s="48">
        <v>0</v>
      </c>
      <c r="K169" s="48">
        <v>0</v>
      </c>
      <c r="L169" s="44">
        <v>8497745</v>
      </c>
      <c r="R169" s="21"/>
      <c r="S169" s="21"/>
    </row>
    <row r="170" spans="1:19" s="43" customFormat="1">
      <c r="A170" s="44">
        <v>8</v>
      </c>
      <c r="B170" s="48" t="s">
        <v>175</v>
      </c>
      <c r="C170" s="48">
        <v>0</v>
      </c>
      <c r="D170" s="48">
        <v>0</v>
      </c>
      <c r="E170" s="48">
        <v>0</v>
      </c>
      <c r="F170" s="44">
        <v>8497745</v>
      </c>
      <c r="G170" s="44">
        <v>8</v>
      </c>
      <c r="H170" s="48" t="s">
        <v>250</v>
      </c>
      <c r="I170" s="48">
        <v>0</v>
      </c>
      <c r="J170" s="48">
        <v>0</v>
      </c>
      <c r="K170" s="48">
        <v>0</v>
      </c>
      <c r="L170" s="44">
        <v>7434864</v>
      </c>
      <c r="R170" s="21"/>
      <c r="S170" s="21"/>
    </row>
    <row r="171" spans="1:19" s="43" customFormat="1">
      <c r="A171" s="44">
        <v>9</v>
      </c>
      <c r="B171" s="48" t="s">
        <v>280</v>
      </c>
      <c r="C171" s="48">
        <v>0</v>
      </c>
      <c r="D171" s="48">
        <v>0</v>
      </c>
      <c r="E171" s="48">
        <v>0</v>
      </c>
      <c r="F171" s="44">
        <v>11115023</v>
      </c>
      <c r="G171" s="44">
        <v>9</v>
      </c>
      <c r="H171" s="48" t="s">
        <v>280</v>
      </c>
      <c r="I171" s="48">
        <v>0</v>
      </c>
      <c r="J171" s="48">
        <v>0</v>
      </c>
      <c r="K171" s="48">
        <v>0</v>
      </c>
      <c r="L171" s="44">
        <v>11115023</v>
      </c>
      <c r="R171" s="21"/>
      <c r="S171" s="21"/>
    </row>
    <row r="172" spans="1:19" s="43" customFormat="1">
      <c r="A172" s="44">
        <v>10</v>
      </c>
      <c r="B172" s="48" t="s">
        <v>251</v>
      </c>
      <c r="C172" s="48">
        <v>0</v>
      </c>
      <c r="D172" s="48">
        <v>0</v>
      </c>
      <c r="E172" s="48">
        <v>0</v>
      </c>
      <c r="F172" s="44">
        <v>5920853</v>
      </c>
      <c r="G172" s="44">
        <v>10</v>
      </c>
      <c r="H172" s="48" t="s">
        <v>248</v>
      </c>
      <c r="I172" s="48">
        <v>0</v>
      </c>
      <c r="J172" s="48">
        <v>0</v>
      </c>
      <c r="K172" s="48">
        <v>0</v>
      </c>
      <c r="L172" s="44">
        <v>14393110</v>
      </c>
      <c r="R172" s="21"/>
      <c r="S172" s="21"/>
    </row>
    <row r="173" spans="1:19" s="43" customFormat="1">
      <c r="A173" s="44">
        <v>11</v>
      </c>
      <c r="B173" s="48"/>
      <c r="C173" s="48">
        <v>0</v>
      </c>
      <c r="D173" s="48">
        <v>0</v>
      </c>
      <c r="E173" s="48">
        <v>0</v>
      </c>
      <c r="F173" s="44"/>
      <c r="G173" s="44">
        <v>11</v>
      </c>
      <c r="H173" s="48" t="s">
        <v>251</v>
      </c>
      <c r="I173" s="48">
        <v>0</v>
      </c>
      <c r="J173" s="48">
        <v>0</v>
      </c>
      <c r="K173" s="48">
        <v>0</v>
      </c>
      <c r="L173" s="44">
        <v>5920853</v>
      </c>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E76C2F54-0F49-4D98-90BB-E0D49A3D8C0D}">
      <formula1>$C$113:$C$114</formula1>
    </dataValidation>
  </dataValidations>
  <hyperlinks>
    <hyperlink ref="O1:P1" location="Home_page" display="Back to home page" xr:uid="{A218EB45-C443-4704-9B7D-2050A7CD1F4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FABE1460-4CA9-4CC9-807C-55E89842953E}">
          <x14:colorSeries rgb="FF323232"/>
          <x14:colorNegative rgb="FFD00000"/>
          <x14:colorAxis rgb="FF000000"/>
          <x14:colorMarkers rgb="FFD00000"/>
          <x14:colorFirst rgb="FFD00000"/>
          <x14:colorLast rgb="FFD00000"/>
          <x14:colorHigh rgb="FFD00000"/>
          <x14:colorLow rgb="FFD00000"/>
          <x14:sparklines>
            <x14:sparkline>
              <xm:f>'Area VIIa demersal trawl'!D3:N3</xm:f>
              <xm:sqref>C3</xm:sqref>
            </x14:sparkline>
            <x14:sparkline>
              <xm:f>'Area VIIa demersal trawl'!D4:N4</xm:f>
              <xm:sqref>C4</xm:sqref>
            </x14:sparkline>
            <x14:sparkline>
              <xm:f>'Area VIIa demersal trawl'!D5:N5</xm:f>
              <xm:sqref>C5</xm:sqref>
            </x14:sparkline>
            <x14:sparkline>
              <xm:f>'Area VIIa demersal trawl'!D6:N6</xm:f>
              <xm:sqref>C6</xm:sqref>
            </x14:sparkline>
            <x14:sparkline>
              <xm:f>'Area VIIa demersal trawl'!D7:N7</xm:f>
              <xm:sqref>C7</xm:sqref>
            </x14:sparkline>
            <x14:sparkline>
              <xm:f>'Area VIIa demersal trawl'!D8:N8</xm:f>
              <xm:sqref>C8</xm:sqref>
            </x14:sparkline>
            <x14:sparkline>
              <xm:f>'Area VIIa demersal trawl'!D9:N9</xm:f>
              <xm:sqref>C9</xm:sqref>
            </x14:sparkline>
            <x14:sparkline>
              <xm:f>'Area VIIa demersal trawl'!D10:N10</xm:f>
              <xm:sqref>C10</xm:sqref>
            </x14:sparkline>
            <x14:sparkline>
              <xm:f>'Area VIIa demersal trawl'!D11:N11</xm:f>
              <xm:sqref>C11</xm:sqref>
            </x14:sparkline>
            <x14:sparkline>
              <xm:f>'Area VIIa demersal trawl'!D12:N12</xm:f>
              <xm:sqref>C12</xm:sqref>
            </x14:sparkline>
            <x14:sparkline>
              <xm:f>'Area VIIa demersal trawl'!D13:N13</xm:f>
              <xm:sqref>C13</xm:sqref>
            </x14:sparkline>
            <x14:sparkline>
              <xm:f>'Area VIIa demersal trawl'!D14:N14</xm:f>
              <xm:sqref>C14</xm:sqref>
            </x14:sparkline>
            <x14:sparkline>
              <xm:f>'Area VIIa demersal trawl'!D15:N15</xm:f>
              <xm:sqref>C15</xm:sqref>
            </x14:sparkline>
            <x14:sparkline>
              <xm:f>'Area VIIa demersal trawl'!D16:N16</xm:f>
              <xm:sqref>C16</xm:sqref>
            </x14:sparkline>
            <x14:sparkline>
              <xm:f>'Area VIIa demersal trawl'!D17:N17</xm:f>
              <xm:sqref>C17</xm:sqref>
            </x14:sparkline>
            <x14:sparkline>
              <xm:f>'Area VIIa demersal trawl'!D18:N18</xm:f>
              <xm:sqref>C18</xm:sqref>
            </x14:sparkline>
            <x14:sparkline>
              <xm:f>'Area VIIa demersal trawl'!D19:N19</xm:f>
              <xm:sqref>C19</xm:sqref>
            </x14:sparkline>
            <x14:sparkline>
              <xm:f>'Area VIIa demersal trawl'!D20:N20</xm:f>
              <xm:sqref>C20</xm:sqref>
            </x14:sparkline>
            <x14:sparkline>
              <xm:f>'Area VIIa demersal trawl'!D21:N21</xm:f>
              <xm:sqref>C21</xm:sqref>
            </x14:sparkline>
            <x14:sparkline>
              <xm:f>'Area VIIa demersal trawl'!D22:N22</xm:f>
              <xm:sqref>C22</xm:sqref>
            </x14:sparkline>
            <x14:sparkline>
              <xm:f>'Area VIIa demersal trawl'!D23:N23</xm:f>
              <xm:sqref>C23</xm:sqref>
            </x14:sparkline>
            <x14:sparkline>
              <xm:f>'Area VIIa demersal trawl'!D24:N24</xm:f>
              <xm:sqref>C24</xm:sqref>
            </x14:sparkline>
            <x14:sparkline>
              <xm:f>'Area VIIa demersal trawl'!D25:N25</xm:f>
              <xm:sqref>C25</xm:sqref>
            </x14:sparkline>
            <x14:sparkline>
              <xm:f>'Area VIIa demersal trawl'!D26:N26</xm:f>
              <xm:sqref>C26</xm:sqref>
            </x14:sparkline>
            <x14:sparkline>
              <xm:f>'Area VIIa demersal trawl'!D27:N27</xm:f>
              <xm:sqref>C27</xm:sqref>
            </x14:sparkline>
            <x14:sparkline>
              <xm:f>'Area VIIa demersal trawl'!D28:N28</xm:f>
              <xm:sqref>C28</xm:sqref>
            </x14:sparkline>
            <x14:sparkline>
              <xm:f>'Area VIIa demersal trawl'!D29:N29</xm:f>
              <xm:sqref>C29</xm:sqref>
            </x14:sparkline>
            <x14:sparkline>
              <xm:f>'Area VIIa demersal trawl'!D30:N30</xm:f>
              <xm:sqref>C30</xm:sqref>
            </x14:sparkline>
            <x14:sparkline>
              <xm:f>'Area VIIa demersal trawl'!D31:N31</xm:f>
              <xm:sqref>C31</xm:sqref>
            </x14:sparkline>
            <x14:sparkline>
              <xm:f>'Area VIIa demersal trawl'!D32:N32</xm:f>
              <xm:sqref>C32</xm:sqref>
            </x14:sparkline>
            <x14:sparkline>
              <xm:f>'Area VIIa demersal trawl'!D33:N33</xm:f>
              <xm:sqref>C33</xm:sqref>
            </x14:sparkline>
            <x14:sparkline>
              <xm:f>'Area VIIa demersal trawl'!D34:N34</xm:f>
              <xm:sqref>C34</xm:sqref>
            </x14:sparkline>
            <x14:sparkline>
              <xm:f>'Area VIIa demersal trawl'!D35:N35</xm:f>
              <xm:sqref>C35</xm:sqref>
            </x14:sparkline>
            <x14:sparkline>
              <xm:f>'Area VIIa demersal trawl'!D36:N36</xm:f>
              <xm:sqref>C36</xm:sqref>
            </x14:sparkline>
            <x14:sparkline>
              <xm:f>'Area VIIa demersal trawl'!D37:N37</xm:f>
              <xm:sqref>C37</xm:sqref>
            </x14:sparkline>
            <x14:sparkline>
              <xm:f>'Area VIIa demersal trawl'!D38:N38</xm:f>
              <xm:sqref>C38</xm:sqref>
            </x14:sparkline>
            <x14:sparkline>
              <xm:f>'Area VIIa demersal trawl'!D39:N39</xm:f>
              <xm:sqref>C39</xm:sqref>
            </x14:sparkline>
            <x14:sparkline>
              <xm:f>'Area VIIa demersal trawl'!D40:N40</xm:f>
              <xm:sqref>C40</xm:sqref>
            </x14:sparkline>
            <x14:sparkline>
              <xm:f>'Area VIIa demersal trawl'!D41:N41</xm:f>
              <xm:sqref>C41</xm:sqref>
            </x14:sparkline>
            <x14:sparkline>
              <xm:f>'Area VIIa demersal trawl'!D42:N42</xm:f>
              <xm:sqref>C42</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F240-16E5-4DF2-80D8-6BAD9E4EC2AA}">
  <sheetPr codeName="Feuil7">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11</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34</v>
      </c>
      <c r="E3" s="28">
        <v>41</v>
      </c>
      <c r="F3" s="28">
        <v>37</v>
      </c>
      <c r="G3" s="28">
        <v>36</v>
      </c>
      <c r="H3" s="28">
        <v>32</v>
      </c>
      <c r="I3" s="28">
        <v>30</v>
      </c>
      <c r="J3" s="28">
        <v>31</v>
      </c>
      <c r="K3" s="28">
        <v>29</v>
      </c>
      <c r="L3" s="28">
        <v>25</v>
      </c>
      <c r="M3" s="28">
        <v>29</v>
      </c>
      <c r="N3" s="28">
        <v>24</v>
      </c>
      <c r="O3" s="29">
        <f t="shared" ref="O3:O42" si="0">IF(N3=0,"",IFERROR(IF(AND(N3&gt;0,D3&lt;0),"na",IF(AND(N3&lt;0,D3&lt;0),-1,1)*(N3-D3)/D3),""))</f>
        <v>-0.29411764705882354</v>
      </c>
      <c r="P3" s="29">
        <f t="shared" ref="P3:P42" si="1">IF(N3=0,"",IFERROR(IF(AND(N3&gt;0,J3&lt;0),"na",IF(AND(N3&lt;0,J3&lt;0),-1,1)*(N3-J3)/J3),""))</f>
        <v>-0.22580645161290322</v>
      </c>
    </row>
    <row r="4" spans="1:17" ht="18" customHeight="1">
      <c r="A4" s="185"/>
      <c r="B4" s="30" t="s">
        <v>190</v>
      </c>
      <c r="C4" s="31"/>
      <c r="D4" s="31">
        <v>12088</v>
      </c>
      <c r="E4" s="31">
        <v>15151</v>
      </c>
      <c r="F4" s="31">
        <v>13788</v>
      </c>
      <c r="G4" s="31">
        <v>13805</v>
      </c>
      <c r="H4" s="31">
        <v>12408</v>
      </c>
      <c r="I4" s="31">
        <v>11501</v>
      </c>
      <c r="J4" s="31">
        <v>11767</v>
      </c>
      <c r="K4" s="31">
        <v>11085</v>
      </c>
      <c r="L4" s="31">
        <v>9785</v>
      </c>
      <c r="M4" s="31">
        <v>11346</v>
      </c>
      <c r="N4" s="31">
        <v>9400</v>
      </c>
      <c r="O4" s="29">
        <f t="shared" si="0"/>
        <v>-0.22236929185969556</v>
      </c>
      <c r="P4" s="29">
        <f t="shared" si="1"/>
        <v>-0.20115577462394832</v>
      </c>
    </row>
    <row r="5" spans="1:17" ht="18" customHeight="1">
      <c r="A5" s="185"/>
      <c r="B5" s="30" t="s">
        <v>191</v>
      </c>
      <c r="C5" s="31"/>
      <c r="D5" s="31">
        <v>3542</v>
      </c>
      <c r="E5" s="31">
        <v>4495</v>
      </c>
      <c r="F5" s="31">
        <v>4210</v>
      </c>
      <c r="G5" s="31">
        <v>4206</v>
      </c>
      <c r="H5" s="31">
        <v>3822</v>
      </c>
      <c r="I5" s="31">
        <v>3563</v>
      </c>
      <c r="J5" s="31">
        <v>3518</v>
      </c>
      <c r="K5" s="31">
        <v>3348</v>
      </c>
      <c r="L5" s="31">
        <v>3073</v>
      </c>
      <c r="M5" s="31">
        <v>3508</v>
      </c>
      <c r="N5" s="31">
        <v>3028</v>
      </c>
      <c r="O5" s="29">
        <f t="shared" si="0"/>
        <v>-0.14511575381140598</v>
      </c>
      <c r="P5" s="29">
        <f t="shared" si="1"/>
        <v>-0.13928368391131324</v>
      </c>
      <c r="Q5" s="32"/>
    </row>
    <row r="6" spans="1:17" ht="18" customHeight="1">
      <c r="A6" s="185"/>
      <c r="B6" s="30" t="s">
        <v>192</v>
      </c>
      <c r="C6" s="31"/>
      <c r="D6" s="31">
        <v>9709.240234375</v>
      </c>
      <c r="E6" s="31">
        <v>12125.767578125</v>
      </c>
      <c r="F6" s="31">
        <v>11063.01171875</v>
      </c>
      <c r="G6" s="31">
        <v>10948.119140625</v>
      </c>
      <c r="H6" s="31">
        <v>9807.9365234375</v>
      </c>
      <c r="I6" s="31">
        <v>9118.6435546875</v>
      </c>
      <c r="J6" s="31">
        <v>9277.9404296875</v>
      </c>
      <c r="K6" s="31">
        <v>8646.8173828125</v>
      </c>
      <c r="L6" s="31">
        <v>7693.9296875</v>
      </c>
      <c r="M6" s="31">
        <v>8902.8828125</v>
      </c>
      <c r="N6" s="31">
        <v>7333.91552734375</v>
      </c>
      <c r="O6" s="29">
        <f t="shared" si="0"/>
        <v>-0.24464578583827301</v>
      </c>
      <c r="P6" s="29">
        <f t="shared" si="1"/>
        <v>-0.20953194484017923</v>
      </c>
    </row>
    <row r="7" spans="1:17" ht="18" customHeight="1">
      <c r="A7" s="185"/>
      <c r="B7" s="30" t="s">
        <v>193</v>
      </c>
      <c r="C7" s="31"/>
      <c r="D7" s="31">
        <v>4161.80517578125</v>
      </c>
      <c r="E7" s="31">
        <v>4986.69775390625</v>
      </c>
      <c r="F7" s="31">
        <v>4535.9873046875</v>
      </c>
      <c r="G7" s="31">
        <v>5283.72412109375</v>
      </c>
      <c r="H7" s="31">
        <v>4146.56201171875</v>
      </c>
      <c r="I7" s="31">
        <v>3901.327880859375</v>
      </c>
      <c r="J7" s="31">
        <v>3983.49560546875</v>
      </c>
      <c r="K7" s="31">
        <v>4553.91357421875</v>
      </c>
      <c r="L7" s="31">
        <v>3628.15283203125</v>
      </c>
      <c r="M7" s="31">
        <v>5091.955078125</v>
      </c>
      <c r="N7" s="31">
        <v>4430.13818359375</v>
      </c>
      <c r="O7" s="29">
        <f t="shared" si="0"/>
        <v>6.4475148758526113E-2</v>
      </c>
      <c r="P7" s="29">
        <f t="shared" si="1"/>
        <v>0.11212327622800081</v>
      </c>
    </row>
    <row r="8" spans="1:17" ht="18" customHeight="1">
      <c r="A8" s="185"/>
      <c r="B8" s="30" t="s">
        <v>194</v>
      </c>
      <c r="C8" s="33"/>
      <c r="D8" s="33">
        <f ca="1">11.276681*OFFSET(D$113,MATCH($N$1,$C$113:$C$114,0)-1,0)</f>
        <v>11.276681</v>
      </c>
      <c r="E8" s="33">
        <f ca="1">11.374211*OFFSET(E$113,MATCH($N$1,$C$113:$C$114,0)-1,0)</f>
        <v>11.374211000000001</v>
      </c>
      <c r="F8" s="33">
        <f ca="1">11.49973*OFFSET(F$113,MATCH($N$1,$C$113:$C$114,0)-1,0)</f>
        <v>11.49973</v>
      </c>
      <c r="G8" s="33">
        <f ca="1">12.107102*OFFSET(G$113,MATCH($N$1,$C$113:$C$114,0)-1,0)</f>
        <v>12.107101999999999</v>
      </c>
      <c r="H8" s="33">
        <f ca="1">10.392358*OFFSET(H$113,MATCH($N$1,$C$113:$C$114,0)-1,0)</f>
        <v>10.392358</v>
      </c>
      <c r="I8" s="33">
        <f ca="1">10.06046*OFFSET(I$113,MATCH($N$1,$C$113:$C$114,0)-1,0)</f>
        <v>10.060460000000001</v>
      </c>
      <c r="J8" s="33">
        <f ca="1">9.592724*OFFSET(J$113,MATCH($N$1,$C$113:$C$114,0)-1,0)</f>
        <v>9.5927240000000005</v>
      </c>
      <c r="K8" s="33">
        <f ca="1">11.835113*OFFSET(K$113,MATCH($N$1,$C$113:$C$114,0)-1,0)</f>
        <v>11.835113</v>
      </c>
      <c r="L8" s="33">
        <f ca="1">6.620169*OFFSET(L$113,MATCH($N$1,$C$113:$C$114,0)-1,0)</f>
        <v>6.6201689999999997</v>
      </c>
      <c r="M8" s="33">
        <f ca="1">9.759482*OFFSET(M$113,MATCH($N$1,$C$113:$C$114,0)-1,0)</f>
        <v>9.7594820000000002</v>
      </c>
      <c r="N8" s="33">
        <v>11.157150999999999</v>
      </c>
      <c r="O8" s="29">
        <f t="shared" ca="1" si="0"/>
        <v>-1.0599750050569049E-2</v>
      </c>
      <c r="P8" s="29">
        <f t="shared" ca="1" si="1"/>
        <v>0.16308475048380403</v>
      </c>
    </row>
    <row r="9" spans="1:17" ht="18" customHeight="1">
      <c r="A9" s="185"/>
      <c r="B9" s="30" t="s">
        <v>195</v>
      </c>
      <c r="C9" s="31"/>
      <c r="D9" s="31">
        <v>4757</v>
      </c>
      <c r="E9" s="31">
        <v>5846</v>
      </c>
      <c r="F9" s="31">
        <v>5564</v>
      </c>
      <c r="G9" s="31">
        <v>5688</v>
      </c>
      <c r="H9" s="31">
        <v>4479</v>
      </c>
      <c r="I9" s="31">
        <v>4101</v>
      </c>
      <c r="J9" s="31">
        <v>4492</v>
      </c>
      <c r="K9" s="31">
        <v>4485</v>
      </c>
      <c r="L9" s="31">
        <v>3138</v>
      </c>
      <c r="M9" s="31">
        <v>4505</v>
      </c>
      <c r="N9" s="31">
        <v>3862</v>
      </c>
      <c r="O9" s="29">
        <f t="shared" si="0"/>
        <v>-0.18814378810174479</v>
      </c>
      <c r="P9" s="29">
        <f t="shared" si="1"/>
        <v>-0.14024933214603741</v>
      </c>
    </row>
    <row r="10" spans="1:17" ht="18" customHeight="1">
      <c r="A10" s="185"/>
      <c r="B10" s="30" t="s">
        <v>196</v>
      </c>
      <c r="C10" s="31"/>
      <c r="D10" s="31">
        <v>3587.35</v>
      </c>
      <c r="E10" s="31">
        <v>4546</v>
      </c>
      <c r="F10" s="31">
        <v>4423.3</v>
      </c>
      <c r="G10" s="31">
        <v>4559.7</v>
      </c>
      <c r="H10" s="31">
        <v>3572.25</v>
      </c>
      <c r="I10" s="31">
        <v>3349.65</v>
      </c>
      <c r="J10" s="31">
        <v>3524.9</v>
      </c>
      <c r="K10" s="31">
        <v>3625.9500000000003</v>
      </c>
      <c r="L10" s="31">
        <v>2600.7000000000003</v>
      </c>
      <c r="M10" s="31">
        <v>3733.75</v>
      </c>
      <c r="N10" s="31">
        <v>3168.8</v>
      </c>
      <c r="O10" s="29">
        <f t="shared" si="0"/>
        <v>-0.11667386789691547</v>
      </c>
      <c r="P10" s="29">
        <f t="shared" si="1"/>
        <v>-0.10102414252886605</v>
      </c>
    </row>
    <row r="11" spans="1:17" ht="18" customHeight="1">
      <c r="A11" s="185"/>
      <c r="B11" s="30" t="s">
        <v>197</v>
      </c>
      <c r="C11" s="31"/>
      <c r="D11" s="31">
        <v>172.51564025878906</v>
      </c>
      <c r="E11" s="31">
        <v>172.09146118164063</v>
      </c>
      <c r="F11" s="31">
        <v>189.59815979003906</v>
      </c>
      <c r="G11" s="31">
        <v>253.01997375488281</v>
      </c>
      <c r="H11" s="31">
        <v>191.34481811523438</v>
      </c>
      <c r="I11" s="31">
        <v>194.93028259277344</v>
      </c>
      <c r="J11" s="31">
        <v>226.01704406738281</v>
      </c>
      <c r="K11" s="31">
        <v>165.69206237792969</v>
      </c>
      <c r="L11" s="31">
        <v>142.6258544921875</v>
      </c>
      <c r="M11" s="31">
        <v>235.95321655273438</v>
      </c>
      <c r="N11" s="31">
        <v>202.15260314941406</v>
      </c>
      <c r="O11" s="34">
        <f t="shared" si="0"/>
        <v>0.17179290437763717</v>
      </c>
      <c r="P11" s="34">
        <f t="shared" si="1"/>
        <v>-0.10558690835215953</v>
      </c>
    </row>
    <row r="12" spans="1:17" ht="18" customHeight="1">
      <c r="A12" s="186" t="s">
        <v>198</v>
      </c>
      <c r="B12" s="35" t="s">
        <v>199</v>
      </c>
      <c r="C12" s="36"/>
      <c r="D12" s="36">
        <v>20.029411315917969</v>
      </c>
      <c r="E12" s="36">
        <v>20.508293151855469</v>
      </c>
      <c r="F12" s="36">
        <v>20.694595336914063</v>
      </c>
      <c r="G12" s="36">
        <v>20.426944732666016</v>
      </c>
      <c r="H12" s="36">
        <v>20.484375</v>
      </c>
      <c r="I12" s="36">
        <v>20.444334030151367</v>
      </c>
      <c r="J12" s="36">
        <v>20.112258911132813</v>
      </c>
      <c r="K12" s="36">
        <v>19.885171890258789</v>
      </c>
      <c r="L12" s="36">
        <v>20.193199157714844</v>
      </c>
      <c r="M12" s="36">
        <v>20.152414321899414</v>
      </c>
      <c r="N12" s="36">
        <v>19.857917785644531</v>
      </c>
      <c r="O12" s="29">
        <f t="shared" si="0"/>
        <v>-8.5620854037355802E-3</v>
      </c>
      <c r="P12" s="29">
        <f t="shared" si="1"/>
        <v>-1.2646074546479454E-2</v>
      </c>
    </row>
    <row r="13" spans="1:17" ht="18" customHeight="1">
      <c r="A13" s="187"/>
      <c r="B13" s="37" t="s">
        <v>190</v>
      </c>
      <c r="C13" s="31"/>
      <c r="D13" s="31">
        <v>355.5294189453125</v>
      </c>
      <c r="E13" s="31">
        <v>369.53659057617188</v>
      </c>
      <c r="F13" s="31">
        <v>372.64865112304688</v>
      </c>
      <c r="G13" s="31">
        <v>383.47222900390625</v>
      </c>
      <c r="H13" s="31">
        <v>387.75</v>
      </c>
      <c r="I13" s="31">
        <v>383.36666870117188</v>
      </c>
      <c r="J13" s="31">
        <v>379.58065795898438</v>
      </c>
      <c r="K13" s="31">
        <v>382.24139404296875</v>
      </c>
      <c r="L13" s="31">
        <v>391.39999389648438</v>
      </c>
      <c r="M13" s="31">
        <v>391.24139404296875</v>
      </c>
      <c r="N13" s="31">
        <v>391.66665649414063</v>
      </c>
      <c r="O13" s="29">
        <f t="shared" si="0"/>
        <v>0.10164345233660327</v>
      </c>
      <c r="P13" s="29">
        <f t="shared" si="1"/>
        <v>3.1840396189160416E-2</v>
      </c>
    </row>
    <row r="14" spans="1:17" ht="18" customHeight="1">
      <c r="A14" s="187"/>
      <c r="B14" s="37" t="s">
        <v>191</v>
      </c>
      <c r="C14" s="31"/>
      <c r="D14" s="31">
        <v>104.17646789550781</v>
      </c>
      <c r="E14" s="31">
        <v>109.63414764404297</v>
      </c>
      <c r="F14" s="31">
        <v>113.78378295898438</v>
      </c>
      <c r="G14" s="31">
        <v>116.83333587646484</v>
      </c>
      <c r="H14" s="31">
        <v>119.4375</v>
      </c>
      <c r="I14" s="31">
        <v>118.76667022705078</v>
      </c>
      <c r="J14" s="31">
        <v>113.48387145996094</v>
      </c>
      <c r="K14" s="31">
        <v>115.44827270507813</v>
      </c>
      <c r="L14" s="31">
        <v>122.91999816894531</v>
      </c>
      <c r="M14" s="31">
        <v>120.96551513671875</v>
      </c>
      <c r="N14" s="31">
        <v>126.16666412353516</v>
      </c>
      <c r="O14" s="29">
        <f t="shared" si="0"/>
        <v>0.21108602232592666</v>
      </c>
      <c r="P14" s="29">
        <f t="shared" si="1"/>
        <v>0.11175854771617416</v>
      </c>
    </row>
    <row r="15" spans="1:17" ht="18" customHeight="1">
      <c r="A15" s="187"/>
      <c r="B15" s="37" t="s">
        <v>192</v>
      </c>
      <c r="C15" s="31"/>
      <c r="D15" s="31">
        <v>285.56588745117188</v>
      </c>
      <c r="E15" s="31">
        <v>295.75042724609375</v>
      </c>
      <c r="F15" s="31">
        <v>299.00033569335938</v>
      </c>
      <c r="G15" s="31">
        <v>304.11444091796875</v>
      </c>
      <c r="H15" s="31">
        <v>306.49801635742188</v>
      </c>
      <c r="I15" s="31">
        <v>303.95480346679688</v>
      </c>
      <c r="J15" s="31">
        <v>299.28839111328125</v>
      </c>
      <c r="K15" s="31">
        <v>298.16610717773438</v>
      </c>
      <c r="L15" s="31">
        <v>307.75717163085938</v>
      </c>
      <c r="M15" s="31">
        <v>306.99594116210938</v>
      </c>
      <c r="N15" s="31">
        <v>305.57980346679688</v>
      </c>
      <c r="O15" s="29">
        <f t="shared" si="0"/>
        <v>7.0085107833641802E-2</v>
      </c>
      <c r="P15" s="29">
        <f t="shared" si="1"/>
        <v>2.1021237509791395E-2</v>
      </c>
    </row>
    <row r="16" spans="1:17" ht="18" customHeight="1">
      <c r="A16" s="187"/>
      <c r="B16" s="37" t="s">
        <v>193</v>
      </c>
      <c r="C16" s="33"/>
      <c r="D16" s="33">
        <v>122.40602874755859</v>
      </c>
      <c r="E16" s="33">
        <v>121.62677001953125</v>
      </c>
      <c r="F16" s="33">
        <v>122.59424591064453</v>
      </c>
      <c r="G16" s="33">
        <v>146.77011108398438</v>
      </c>
      <c r="H16" s="33">
        <v>129.58006286621094</v>
      </c>
      <c r="I16" s="33">
        <v>130.04426574707031</v>
      </c>
      <c r="J16" s="33">
        <v>128.49986267089844</v>
      </c>
      <c r="K16" s="33">
        <v>157.03150939941406</v>
      </c>
      <c r="L16" s="33">
        <v>145.12611389160156</v>
      </c>
      <c r="M16" s="33">
        <v>175.58465576171875</v>
      </c>
      <c r="N16" s="33">
        <v>184.58908081054688</v>
      </c>
      <c r="O16" s="29">
        <f t="shared" si="0"/>
        <v>0.50800644951263096</v>
      </c>
      <c r="P16" s="29">
        <f t="shared" si="1"/>
        <v>0.43649243644173208</v>
      </c>
    </row>
    <row r="17" spans="1:16" ht="18" customHeight="1">
      <c r="A17" s="187"/>
      <c r="B17" s="37" t="s">
        <v>200</v>
      </c>
      <c r="C17" s="33"/>
      <c r="D17" s="33">
        <f ca="1">331.6670625*OFFSET(D$113,MATCH($N$1,$C$113:$C$114,0)-1,0)</f>
        <v>331.66706249999999</v>
      </c>
      <c r="E17" s="33">
        <f ca="1">277.41978125*OFFSET(E$113,MATCH($N$1,$C$113:$C$114,0)-1,0)</f>
        <v>277.41978125000003</v>
      </c>
      <c r="F17" s="33">
        <f ca="1">310.8035*OFFSET(F$113,MATCH($N$1,$C$113:$C$114,0)-1,0)</f>
        <v>310.80349999999999</v>
      </c>
      <c r="G17" s="33">
        <f ca="1">336.30840625*OFFSET(G$113,MATCH($N$1,$C$113:$C$114,0)-1,0)</f>
        <v>336.30840625000002</v>
      </c>
      <c r="H17" s="33">
        <f ca="1">324.7611875*OFFSET(H$113,MATCH($N$1,$C$113:$C$114,0)-1,0)</f>
        <v>324.76118750000001</v>
      </c>
      <c r="I17" s="33">
        <f ca="1">335.34865625*OFFSET(I$113,MATCH($N$1,$C$113:$C$114,0)-1,0)</f>
        <v>335.34865624999998</v>
      </c>
      <c r="J17" s="33">
        <f ca="1">309.44271875*OFFSET(J$113,MATCH($N$1,$C$113:$C$114,0)-1,0)</f>
        <v>309.44271874999998</v>
      </c>
      <c r="K17" s="33">
        <f ca="1">408.10734375*OFFSET(K$113,MATCH($N$1,$C$113:$C$114,0)-1,0)</f>
        <v>408.10734374999998</v>
      </c>
      <c r="L17" s="33">
        <f ca="1">264.80675*OFFSET(L$113,MATCH($N$1,$C$113:$C$114,0)-1,0)</f>
        <v>264.80675000000002</v>
      </c>
      <c r="M17" s="33">
        <f ca="1">336.533875*OFFSET(M$113,MATCH($N$1,$C$113:$C$114,0)-1,0)</f>
        <v>336.53387500000002</v>
      </c>
      <c r="N17" s="33">
        <v>464.88128125000003</v>
      </c>
      <c r="O17" s="29">
        <f t="shared" ca="1" si="0"/>
        <v>0.40165043144734958</v>
      </c>
      <c r="P17" s="29">
        <f t="shared" ca="1" si="1"/>
        <v>0.50231772499898275</v>
      </c>
    </row>
    <row r="18" spans="1:16" ht="18" customHeight="1">
      <c r="A18" s="187"/>
      <c r="B18" s="37" t="s">
        <v>195</v>
      </c>
      <c r="C18" s="31"/>
      <c r="D18" s="31">
        <v>139.91175842285156</v>
      </c>
      <c r="E18" s="31">
        <v>142.58537292480469</v>
      </c>
      <c r="F18" s="31">
        <v>150.37837219238281</v>
      </c>
      <c r="G18" s="31">
        <v>158</v>
      </c>
      <c r="H18" s="31">
        <v>139.96875</v>
      </c>
      <c r="I18" s="31">
        <v>136.69999694824219</v>
      </c>
      <c r="J18" s="31">
        <v>144.90322875976563</v>
      </c>
      <c r="K18" s="31">
        <v>154.65516662597656</v>
      </c>
      <c r="L18" s="31">
        <v>125.51999664306641</v>
      </c>
      <c r="M18" s="31">
        <v>155.34483337402344</v>
      </c>
      <c r="N18" s="31">
        <v>160.91667175292969</v>
      </c>
      <c r="O18" s="29">
        <f t="shared" si="0"/>
        <v>0.15012972152487383</v>
      </c>
      <c r="P18" s="29">
        <f t="shared" si="1"/>
        <v>0.11051129177882346</v>
      </c>
    </row>
    <row r="19" spans="1:16" ht="18" customHeight="1">
      <c r="A19" s="187"/>
      <c r="B19" s="37" t="s">
        <v>201</v>
      </c>
      <c r="C19" s="31"/>
      <c r="D19" s="31">
        <v>35.235294342041016</v>
      </c>
      <c r="E19" s="31">
        <v>35.804878234863281</v>
      </c>
      <c r="F19" s="31">
        <v>37.43243408203125</v>
      </c>
      <c r="G19" s="31">
        <v>36.166667938232422</v>
      </c>
      <c r="H19" s="31">
        <v>36.34375</v>
      </c>
      <c r="I19" s="31">
        <v>37.700000762939453</v>
      </c>
      <c r="J19" s="31">
        <v>37.967742919921875</v>
      </c>
      <c r="K19" s="31">
        <v>38.241378784179688</v>
      </c>
      <c r="L19" s="31">
        <v>37.479999542236328</v>
      </c>
      <c r="M19" s="31">
        <v>37.931034088134766</v>
      </c>
      <c r="N19" s="31">
        <v>36.708332061767578</v>
      </c>
      <c r="O19" s="29">
        <f t="shared" si="0"/>
        <v>4.1805744700960441E-2</v>
      </c>
      <c r="P19" s="29">
        <f t="shared" si="1"/>
        <v>-3.3170548505096348E-2</v>
      </c>
    </row>
    <row r="20" spans="1:16" ht="18" customHeight="1">
      <c r="A20" s="187"/>
      <c r="B20" s="37" t="s">
        <v>202</v>
      </c>
      <c r="C20" s="38"/>
      <c r="D20" s="38">
        <v>0.87488019466400146</v>
      </c>
      <c r="E20" s="38">
        <v>0.85301011800765991</v>
      </c>
      <c r="F20" s="38">
        <v>0.81523853540420532</v>
      </c>
      <c r="G20" s="38">
        <v>0.92892473936080933</v>
      </c>
      <c r="H20" s="38">
        <v>0.92577850818634033</v>
      </c>
      <c r="I20" s="38">
        <v>0.95131140947341919</v>
      </c>
      <c r="J20" s="38">
        <v>0.88679778575897217</v>
      </c>
      <c r="K20" s="38">
        <v>1.0153654813766479</v>
      </c>
      <c r="L20" s="38">
        <v>1.1561990976333618</v>
      </c>
      <c r="M20" s="38">
        <v>1.1302896738052368</v>
      </c>
      <c r="N20" s="38">
        <v>1.1471097469329834</v>
      </c>
      <c r="O20" s="29">
        <f t="shared" si="0"/>
        <v>0.31116209274063167</v>
      </c>
      <c r="P20" s="29">
        <f t="shared" si="1"/>
        <v>0.29354151008758034</v>
      </c>
    </row>
    <row r="21" spans="1:16" ht="18" customHeight="1">
      <c r="A21" s="188"/>
      <c r="B21" s="39" t="s">
        <v>203</v>
      </c>
      <c r="C21" s="40"/>
      <c r="D21" s="40">
        <f ca="1">2710*OFFSET(D$113,MATCH($N$1,$C$113:$C$114,0)-1,0)</f>
        <v>2710</v>
      </c>
      <c r="E21" s="40">
        <f ca="1">2281*OFFSET(E$113,MATCH($N$1,$C$113:$C$114,0)-1,0)</f>
        <v>2281</v>
      </c>
      <c r="F21" s="40">
        <f ca="1">2535*OFFSET(F$113,MATCH($N$1,$C$113:$C$114,0)-1,0)</f>
        <v>2535</v>
      </c>
      <c r="G21" s="40">
        <f ca="1">2291*OFFSET(G$113,MATCH($N$1,$C$113:$C$114,0)-1,0)</f>
        <v>2291</v>
      </c>
      <c r="H21" s="40">
        <f ca="1">2506*OFFSET(H$113,MATCH($N$1,$C$113:$C$114,0)-1,0)</f>
        <v>2506</v>
      </c>
      <c r="I21" s="40">
        <f ca="1">2579*OFFSET(I$113,MATCH($N$1,$C$113:$C$114,0)-1,0)</f>
        <v>2579</v>
      </c>
      <c r="J21" s="40">
        <f ca="1">2408*OFFSET(J$113,MATCH($N$1,$C$113:$C$114,0)-1,0)</f>
        <v>2408</v>
      </c>
      <c r="K21" s="40">
        <f ca="1">2599*OFFSET(K$113,MATCH($N$1,$C$113:$C$114,0)-1,0)</f>
        <v>2599</v>
      </c>
      <c r="L21" s="40">
        <f ca="1">1825*OFFSET(L$113,MATCH($N$1,$C$113:$C$114,0)-1,0)</f>
        <v>1825</v>
      </c>
      <c r="M21" s="40">
        <f ca="1">1917*OFFSET(M$113,MATCH($N$1,$C$113:$C$114,0)-1,0)</f>
        <v>1917</v>
      </c>
      <c r="N21" s="40">
        <v>2518</v>
      </c>
      <c r="O21" s="34">
        <f t="shared" ca="1" si="0"/>
        <v>-7.0848708487084869E-2</v>
      </c>
      <c r="P21" s="34">
        <f t="shared" ca="1" si="1"/>
        <v>4.5681063122923589E-2</v>
      </c>
    </row>
    <row r="22" spans="1:16" ht="18" customHeight="1">
      <c r="A22" s="189" t="s">
        <v>204</v>
      </c>
      <c r="B22" s="35" t="s">
        <v>205</v>
      </c>
      <c r="C22" s="41"/>
      <c r="D22" s="41">
        <v>2.493757903178019</v>
      </c>
      <c r="E22" s="41">
        <v>2.2692347110750757</v>
      </c>
      <c r="F22" s="41">
        <v>2.1480577556572968</v>
      </c>
      <c r="G22" s="41">
        <v>2.4498943991317526</v>
      </c>
      <c r="H22" s="41">
        <v>2.4082925636584998</v>
      </c>
      <c r="I22" s="41">
        <v>2.4198993416850563</v>
      </c>
      <c r="J22" s="41">
        <v>2.3431638033052349</v>
      </c>
      <c r="K22" s="41">
        <v>2.6144015964114602</v>
      </c>
      <c r="L22" s="41">
        <v>2.9246702573150047</v>
      </c>
      <c r="M22" s="41">
        <v>2.8688298168371227</v>
      </c>
      <c r="N22" s="41">
        <v>2.8780416474842108</v>
      </c>
      <c r="O22" s="29">
        <f t="shared" si="0"/>
        <v>0.15409825621663775</v>
      </c>
      <c r="P22" s="29">
        <f t="shared" si="1"/>
        <v>0.22827164000420477</v>
      </c>
    </row>
    <row r="23" spans="1:16" ht="18" customHeight="1">
      <c r="A23" s="189"/>
      <c r="B23" s="37" t="s">
        <v>206</v>
      </c>
      <c r="C23" s="38"/>
      <c r="D23" s="38">
        <f ca="1">6.75699854652551*OFFSET(D$113,MATCH($N$1,$C$113:$C$114,0)-1,0)</f>
        <v>6.7569985465255096</v>
      </c>
      <c r="E23" s="38">
        <f ca="1">5.17592136213321*OFFSET(E$113,MATCH($N$1,$C$113:$C$114,0)-1,0)</f>
        <v>5.1759213621332103</v>
      </c>
      <c r="F23" s="38">
        <f ca="1">5.44580101375267*OFFSET(F$113,MATCH($N$1,$C$113:$C$114,0)-1,0)</f>
        <v>5.4458010137526696</v>
      </c>
      <c r="G23" s="38">
        <f ca="1">5.61367757214096*OFFSET(G$113,MATCH($N$1,$C$113:$C$114,0)-1,0)</f>
        <v>5.6136775721409604</v>
      </c>
      <c r="H23" s="38">
        <f ca="1">6.03580470267774*OFFSET(H$113,MATCH($N$1,$C$113:$C$114,0)-1,0)</f>
        <v>6.0358047026777397</v>
      </c>
      <c r="I23" s="38">
        <f ca="1">6.24025971335553*OFFSET(I$113,MATCH($N$1,$C$113:$C$114,0)-1,0)</f>
        <v>6.2402597133555302</v>
      </c>
      <c r="J23" s="38">
        <f ca="1">5.64261286121647*OFFSET(J$113,MATCH($N$1,$C$113:$C$114,0)-1,0)</f>
        <v>5.6426128612164703</v>
      </c>
      <c r="K23" s="38">
        <f ca="1">6.79453757457942*OFFSET(K$113,MATCH($N$1,$C$113:$C$114,0)-1,0)</f>
        <v>6.7945375745794196</v>
      </c>
      <c r="L23" s="38">
        <f ca="1">5.33654767493963*OFFSET(L$113,MATCH($N$1,$C$113:$C$114,0)-1,0)</f>
        <v>5.3365476749396299</v>
      </c>
      <c r="M23" s="38">
        <f ca="1">5.49853522671101*OFFSET(M$113,MATCH($N$1,$C$113:$C$114,0)-1,0)</f>
        <v>5.4985352267110104</v>
      </c>
      <c r="N23" s="38">
        <v>7.2482493693466319</v>
      </c>
      <c r="O23" s="29">
        <f t="shared" ca="1" si="0"/>
        <v>7.2702520126147807E-2</v>
      </c>
      <c r="P23" s="29">
        <f t="shared" ca="1" si="1"/>
        <v>0.2845554971822058</v>
      </c>
    </row>
    <row r="24" spans="1:16" ht="18" customHeight="1">
      <c r="A24" s="189"/>
      <c r="B24" s="37" t="s">
        <v>153</v>
      </c>
      <c r="C24" s="38"/>
      <c r="D24" s="38">
        <f ca="1">5.09779435604013*OFFSET(D$113,MATCH($N$1,$C$113:$C$114,0)-1,0)</f>
        <v>5.0977943560401302</v>
      </c>
      <c r="E24" s="38">
        <f ca="1">4.34032828940776*OFFSET(E$113,MATCH($N$1,$C$113:$C$114,0)-1,0)</f>
        <v>4.3403282894077604</v>
      </c>
      <c r="F24" s="38">
        <f ca="1">4.51233573899251*OFFSET(F$113,MATCH($N$1,$C$113:$C$114,0)-1,0)</f>
        <v>4.5123357389925101</v>
      </c>
      <c r="G24" s="38">
        <f ca="1">4.10594487286655*OFFSET(G$113,MATCH($N$1,$C$113:$C$114,0)-1,0)</f>
        <v>4.1059448728665497</v>
      </c>
      <c r="H24" s="38">
        <f ca="1">4.23647404800832*OFFSET(H$113,MATCH($N$1,$C$113:$C$114,0)-1,0)</f>
        <v>4.2364740480083203</v>
      </c>
      <c r="I24" s="38">
        <f ca="1">4.68104055969545*OFFSET(I$113,MATCH($N$1,$C$113:$C$114,0)-1,0)</f>
        <v>4.6810405596954503</v>
      </c>
      <c r="J24" s="38">
        <f ca="1">5.27893658314697*OFFSET(J$113,MATCH($N$1,$C$113:$C$114,0)-1,0)</f>
        <v>5.2789365831469697</v>
      </c>
      <c r="K24" s="38">
        <f ca="1">5.76393995652947*OFFSET(K$113,MATCH($N$1,$C$113:$C$114,0)-1,0)</f>
        <v>5.7639399565294704</v>
      </c>
      <c r="L24" s="38">
        <f ca="1">4.87962230856357*OFFSET(L$113,MATCH($N$1,$C$113:$C$114,0)-1,0)</f>
        <v>4.8796223085635697</v>
      </c>
      <c r="M24" s="38">
        <f ca="1">4.89950897656701*OFFSET(M$113,MATCH($N$1,$C$113:$C$114,0)-1,0)</f>
        <v>4.8995089765670103</v>
      </c>
      <c r="N24" s="38">
        <v>6.9520696283708423</v>
      </c>
      <c r="O24" s="29">
        <f t="shared" ca="1" si="0"/>
        <v>0.36374069702001044</v>
      </c>
      <c r="P24" s="29">
        <f t="shared" ca="1" si="1"/>
        <v>0.31694509279868183</v>
      </c>
    </row>
    <row r="25" spans="1:16" ht="18" customHeight="1">
      <c r="A25" s="189"/>
      <c r="B25" s="37" t="s">
        <v>154</v>
      </c>
      <c r="C25" s="38"/>
      <c r="D25" s="38">
        <f ca="1">1.74530119645844*OFFSET(D$113,MATCH($N$1,$C$113:$C$114,0)-1,0)</f>
        <v>1.74530119645844</v>
      </c>
      <c r="E25" s="38">
        <f ca="1">1.04232663138044*OFFSET(E$113,MATCH($N$1,$C$113:$C$114,0)-1,0)</f>
        <v>1.04232663138044</v>
      </c>
      <c r="F25" s="38">
        <f ca="1">0.933520879243627*OFFSET(F$113,MATCH($N$1,$C$113:$C$114,0)-1,0)</f>
        <v>0.93352087924362703</v>
      </c>
      <c r="G25" s="38">
        <f ca="1">1.56048495628769*OFFSET(G$113,MATCH($N$1,$C$113:$C$114,0)-1,0)</f>
        <v>1.5604849562876899</v>
      </c>
      <c r="H25" s="38">
        <f ca="1">1.83495093754447*OFFSET(H$113,MATCH($N$1,$C$113:$C$114,0)-1,0)</f>
        <v>1.8349509375444699</v>
      </c>
      <c r="I25" s="38">
        <f ca="1">1.59354804616393*OFFSET(I$113,MATCH($N$1,$C$113:$C$114,0)-1,0)</f>
        <v>1.59354804616393</v>
      </c>
      <c r="J25" s="38">
        <f ca="1">1.08481740632944*OFFSET(J$113,MATCH($N$1,$C$113:$C$114,0)-1,0)</f>
        <v>1.08481740632944</v>
      </c>
      <c r="K25" s="38">
        <f ca="1">2.06308813777067*OFFSET(K$113,MATCH($N$1,$C$113:$C$114,0)-1,0)</f>
        <v>2.06308813777067</v>
      </c>
      <c r="L25" s="38">
        <f ca="1">1.43452636796087*OFFSET(L$113,MATCH($N$1,$C$113:$C$114,0)-1,0)</f>
        <v>1.43452636796087</v>
      </c>
      <c r="M25" s="38">
        <f ca="1">0.883418776580349*OFFSET(M$113,MATCH($N$1,$C$113:$C$114,0)-1,0)</f>
        <v>0.88341877658034895</v>
      </c>
      <c r="N25" s="38">
        <v>0.51153514480680806</v>
      </c>
      <c r="O25" s="29">
        <f t="shared" ca="1" si="0"/>
        <v>-0.70690723993955107</v>
      </c>
      <c r="P25" s="29">
        <f t="shared" ca="1" si="1"/>
        <v>-0.52845968194995585</v>
      </c>
    </row>
    <row r="26" spans="1:16" ht="18" customHeight="1">
      <c r="A26" s="189"/>
      <c r="B26" s="37" t="s">
        <v>207</v>
      </c>
      <c r="C26" s="33"/>
      <c r="D26" s="33">
        <f ca="1">65.37*OFFSET(D$113,MATCH($N$1,$C$113:$C$114,0)-1,0)</f>
        <v>65.37</v>
      </c>
      <c r="E26" s="33">
        <f ca="1">66.09*OFFSET(E$113,MATCH($N$1,$C$113:$C$114,0)-1,0)</f>
        <v>66.09</v>
      </c>
      <c r="F26" s="33">
        <f ca="1">60.65*OFFSET(F$113,MATCH($N$1,$C$113:$C$114,0)-1,0)</f>
        <v>60.65</v>
      </c>
      <c r="G26" s="33">
        <f ca="1">47.85*OFFSET(G$113,MATCH($N$1,$C$113:$C$114,0)-1,0)</f>
        <v>47.85</v>
      </c>
      <c r="H26" s="33">
        <f ca="1">54.32*OFFSET(H$113,MATCH($N$1,$C$113:$C$114,0)-1,0)</f>
        <v>54.32</v>
      </c>
      <c r="I26" s="33">
        <f ca="1">51.6*OFFSET(I$113,MATCH($N$1,$C$113:$C$114,0)-1,0)</f>
        <v>51.6</v>
      </c>
      <c r="J26" s="33">
        <f ca="1">42.44*OFFSET(J$113,MATCH($N$1,$C$113:$C$114,0)-1,0)</f>
        <v>42.44</v>
      </c>
      <c r="K26" s="33">
        <f ca="1">71.43*OFFSET(K$113,MATCH($N$1,$C$113:$C$114,0)-1,0)</f>
        <v>71.430000000000007</v>
      </c>
      <c r="L26" s="33">
        <f ca="1">46.42*OFFSET(L$113,MATCH($N$1,$C$113:$C$114,0)-1,0)</f>
        <v>46.42</v>
      </c>
      <c r="M26" s="33">
        <f ca="1">41.36*OFFSET(M$113,MATCH($N$1,$C$113:$C$114,0)-1,0)</f>
        <v>41.36</v>
      </c>
      <c r="N26" s="33">
        <v>55.19</v>
      </c>
      <c r="O26" s="29">
        <f t="shared" ca="1" si="0"/>
        <v>-0.15572892764264962</v>
      </c>
      <c r="P26" s="29">
        <f t="shared" ca="1" si="1"/>
        <v>0.30042412818096137</v>
      </c>
    </row>
    <row r="27" spans="1:16" ht="18" customHeight="1">
      <c r="A27" s="190"/>
      <c r="B27" s="37" t="s">
        <v>208</v>
      </c>
      <c r="C27" s="33"/>
      <c r="D27" s="33">
        <f ca="1">16.89*OFFSET(D$113,MATCH($N$1,$C$113:$C$114,0)-1,0)</f>
        <v>16.89</v>
      </c>
      <c r="E27" s="33">
        <f ca="1">13.32*OFFSET(E$113,MATCH($N$1,$C$113:$C$114,0)-1,0)</f>
        <v>13.32</v>
      </c>
      <c r="F27" s="33">
        <f ca="1">10.4*OFFSET(F$113,MATCH($N$1,$C$113:$C$114,0)-1,0)</f>
        <v>10.4</v>
      </c>
      <c r="G27" s="33">
        <f ca="1">13.3*OFFSET(G$113,MATCH($N$1,$C$113:$C$114,0)-1,0)</f>
        <v>13.3</v>
      </c>
      <c r="H27" s="33">
        <f ca="1">16.51*OFFSET(H$113,MATCH($N$1,$C$113:$C$114,0)-1,0)</f>
        <v>16.510000000000002</v>
      </c>
      <c r="I27" s="33">
        <f ca="1">13.17*OFFSET(I$113,MATCH($N$1,$C$113:$C$114,0)-1,0)</f>
        <v>13.17</v>
      </c>
      <c r="J27" s="33">
        <f ca="1">8.16*OFFSET(J$113,MATCH($N$1,$C$113:$C$114,0)-1,0)</f>
        <v>8.16</v>
      </c>
      <c r="K27" s="33">
        <f ca="1">21.69*OFFSET(K$113,MATCH($N$1,$C$113:$C$114,0)-1,0)</f>
        <v>21.69</v>
      </c>
      <c r="L27" s="33">
        <f ca="1">12.48*OFFSET(L$113,MATCH($N$1,$C$113:$C$114,0)-1,0)</f>
        <v>12.48</v>
      </c>
      <c r="M27" s="33">
        <f ca="1">6.65*OFFSET(M$113,MATCH($N$1,$C$113:$C$114,0)-1,0)</f>
        <v>6.65</v>
      </c>
      <c r="N27" s="33">
        <v>3.89</v>
      </c>
      <c r="O27" s="34">
        <f t="shared" ca="1" si="0"/>
        <v>-0.76968620485494377</v>
      </c>
      <c r="P27" s="34">
        <f t="shared" ca="1" si="1"/>
        <v>-0.52328431372549011</v>
      </c>
    </row>
    <row r="28" spans="1:16" s="78" customFormat="1" ht="18" customHeight="1">
      <c r="A28" s="191" t="s">
        <v>209</v>
      </c>
      <c r="B28" s="82" t="s">
        <v>200</v>
      </c>
      <c r="C28" s="83"/>
      <c r="D28" s="83">
        <f ca="1">331.7*OFFSET(D$113,MATCH($N$1,$C$113:$C$114,0)-1,0)</f>
        <v>331.7</v>
      </c>
      <c r="E28" s="83">
        <f ca="1">277.4*OFFSET(E$113,MATCH($N$1,$C$113:$C$114,0)-1,0)</f>
        <v>277.39999999999998</v>
      </c>
      <c r="F28" s="83">
        <f ca="1">310.8*OFFSET(F$113,MATCH($N$1,$C$113:$C$114,0)-1,0)</f>
        <v>310.8</v>
      </c>
      <c r="G28" s="83">
        <f ca="1">336.3*OFFSET(G$113,MATCH($N$1,$C$113:$C$114,0)-1,0)</f>
        <v>336.3</v>
      </c>
      <c r="H28" s="83">
        <f ca="1">324.8*OFFSET(H$113,MATCH($N$1,$C$113:$C$114,0)-1,0)</f>
        <v>324.8</v>
      </c>
      <c r="I28" s="83">
        <f ca="1">335.3*OFFSET(I$113,MATCH($N$1,$C$113:$C$114,0)-1,0)</f>
        <v>335.3</v>
      </c>
      <c r="J28" s="83">
        <f ca="1">309.4*OFFSET(J$113,MATCH($N$1,$C$113:$C$114,0)-1,0)</f>
        <v>309.39999999999998</v>
      </c>
      <c r="K28" s="83">
        <f ca="1">408.1*OFFSET(K$113,MATCH($N$1,$C$113:$C$114,0)-1,0)</f>
        <v>408.1</v>
      </c>
      <c r="L28" s="83">
        <f ca="1">264.8*OFFSET(L$113,MATCH($N$1,$C$113:$C$114,0)-1,0)</f>
        <v>264.8</v>
      </c>
      <c r="M28" s="83">
        <f ca="1">336.5*OFFSET(M$113,MATCH($N$1,$C$113:$C$114,0)-1,0)</f>
        <v>336.5</v>
      </c>
      <c r="N28" s="83">
        <v>464.90000000000003</v>
      </c>
      <c r="O28" s="84">
        <f t="shared" ca="1" si="0"/>
        <v>0.40156768164003631</v>
      </c>
      <c r="P28" s="84">
        <f t="shared" ca="1" si="1"/>
        <v>0.50258564964447339</v>
      </c>
    </row>
    <row r="29" spans="1:16" s="78" customFormat="1" ht="18" customHeight="1">
      <c r="A29" s="192"/>
      <c r="B29" s="85" t="s">
        <v>210</v>
      </c>
      <c r="C29" s="86"/>
      <c r="D29" s="86">
        <f ca="1">4.2*OFFSET(D$113,MATCH($N$1,$C$113:$C$114,0)-1,0)</f>
        <v>4.2</v>
      </c>
      <c r="E29" s="86">
        <f ca="1">11.1*OFFSET(E$113,MATCH($N$1,$C$113:$C$114,0)-1,0)</f>
        <v>11.1</v>
      </c>
      <c r="F29" s="86"/>
      <c r="G29" s="86">
        <f ca="1">3.2*OFFSET(G$113,MATCH($N$1,$C$113:$C$114,0)-1,0)</f>
        <v>3.2</v>
      </c>
      <c r="H29" s="86">
        <f ca="1">1.9*OFFSET(H$113,MATCH($N$1,$C$113:$C$114,0)-1,0)</f>
        <v>1.9</v>
      </c>
      <c r="I29" s="86">
        <f ca="1">1.8*OFFSET(I$113,MATCH($N$1,$C$113:$C$114,0)-1,0)</f>
        <v>1.8</v>
      </c>
      <c r="J29" s="86">
        <f ca="1">39.5*OFFSET(J$113,MATCH($N$1,$C$113:$C$114,0)-1,0)</f>
        <v>39.5</v>
      </c>
      <c r="K29" s="86">
        <f ca="1">62*OFFSET(K$113,MATCH($N$1,$C$113:$C$114,0)-1,0)</f>
        <v>62</v>
      </c>
      <c r="L29" s="86">
        <f ca="1">48.5*OFFSET(L$113,MATCH($N$1,$C$113:$C$114,0)-1,0)</f>
        <v>48.5</v>
      </c>
      <c r="M29" s="86">
        <f ca="1">17.4*OFFSET(M$113,MATCH($N$1,$C$113:$C$114,0)-1,0)</f>
        <v>17.399999999999999</v>
      </c>
      <c r="N29" s="86">
        <v>13.8</v>
      </c>
      <c r="O29" s="84">
        <f t="shared" ca="1" si="0"/>
        <v>2.285714285714286</v>
      </c>
      <c r="P29" s="84">
        <f t="shared" ca="1" si="1"/>
        <v>-0.65063291139240509</v>
      </c>
    </row>
    <row r="30" spans="1:16" s="78" customFormat="1" ht="18" customHeight="1">
      <c r="A30" s="192"/>
      <c r="B30" s="87" t="s">
        <v>211</v>
      </c>
      <c r="C30" s="88"/>
      <c r="D30" s="88">
        <f ca="1">335.9*OFFSET(D$113,MATCH($N$1,$C$113:$C$114,0)-1,0)</f>
        <v>335.9</v>
      </c>
      <c r="E30" s="88">
        <f ca="1">288.5*OFFSET(E$113,MATCH($N$1,$C$113:$C$114,0)-1,0)</f>
        <v>288.5</v>
      </c>
      <c r="F30" s="88">
        <f ca="1">310.8*OFFSET(F$113,MATCH($N$1,$C$113:$C$114,0)-1,0)</f>
        <v>310.8</v>
      </c>
      <c r="G30" s="88">
        <f ca="1">339.5*OFFSET(G$113,MATCH($N$1,$C$113:$C$114,0)-1,0)</f>
        <v>339.5</v>
      </c>
      <c r="H30" s="88">
        <f ca="1">326.7*OFFSET(H$113,MATCH($N$1,$C$113:$C$114,0)-1,0)</f>
        <v>326.7</v>
      </c>
      <c r="I30" s="88">
        <f ca="1">337.2*OFFSET(I$113,MATCH($N$1,$C$113:$C$114,0)-1,0)</f>
        <v>337.2</v>
      </c>
      <c r="J30" s="88">
        <f ca="1">349*OFFSET(J$113,MATCH($N$1,$C$113:$C$114,0)-1,0)</f>
        <v>349</v>
      </c>
      <c r="K30" s="88">
        <f ca="1">470.1*OFFSET(K$113,MATCH($N$1,$C$113:$C$114,0)-1,0)</f>
        <v>470.1</v>
      </c>
      <c r="L30" s="88">
        <f ca="1">313.3*OFFSET(L$113,MATCH($N$1,$C$113:$C$114,0)-1,0)</f>
        <v>313.3</v>
      </c>
      <c r="M30" s="88">
        <f ca="1">353.9*OFFSET(M$113,MATCH($N$1,$C$113:$C$114,0)-1,0)</f>
        <v>353.9</v>
      </c>
      <c r="N30" s="88">
        <v>478.7</v>
      </c>
      <c r="O30" s="84">
        <f t="shared" ca="1" si="0"/>
        <v>0.42512652575171189</v>
      </c>
      <c r="P30" s="84">
        <f t="shared" ca="1" si="1"/>
        <v>0.37163323782234953</v>
      </c>
    </row>
    <row r="31" spans="1:16" s="78" customFormat="1" ht="18" customHeight="1">
      <c r="A31" s="192"/>
      <c r="B31" s="85" t="s">
        <v>212</v>
      </c>
      <c r="C31" s="86"/>
      <c r="D31" s="86">
        <f ca="1">74.5*OFFSET(D$113,MATCH($N$1,$C$113:$C$114,0)-1,0)</f>
        <v>74.5</v>
      </c>
      <c r="E31" s="86">
        <f ca="1">74.8*OFFSET(E$113,MATCH($N$1,$C$113:$C$114,0)-1,0)</f>
        <v>74.8</v>
      </c>
      <c r="F31" s="86">
        <f ca="1">73.1*OFFSET(F$113,MATCH($N$1,$C$113:$C$114,0)-1,0)</f>
        <v>73.099999999999994</v>
      </c>
      <c r="G31" s="86">
        <f ca="1">54.6*OFFSET(G$113,MATCH($N$1,$C$113:$C$114,0)-1,0)</f>
        <v>54.6</v>
      </c>
      <c r="H31" s="86">
        <f ca="1">43.3*OFFSET(H$113,MATCH($N$1,$C$113:$C$114,0)-1,0)</f>
        <v>43.3</v>
      </c>
      <c r="I31" s="86">
        <f ca="1">53.3*OFFSET(I$113,MATCH($N$1,$C$113:$C$114,0)-1,0)</f>
        <v>53.3</v>
      </c>
      <c r="J31" s="86">
        <f ca="1">64.4*OFFSET(J$113,MATCH($N$1,$C$113:$C$114,0)-1,0)</f>
        <v>64.400000000000006</v>
      </c>
      <c r="K31" s="86">
        <f ca="1">68.8*OFFSET(K$113,MATCH($N$1,$C$113:$C$114,0)-1,0)</f>
        <v>68.8</v>
      </c>
      <c r="L31" s="86">
        <f ca="1">40.5*OFFSET(L$113,MATCH($N$1,$C$113:$C$114,0)-1,0)</f>
        <v>40.5</v>
      </c>
      <c r="M31" s="86">
        <f ca="1">59.8*OFFSET(M$113,MATCH($N$1,$C$113:$C$114,0)-1,0)</f>
        <v>59.8</v>
      </c>
      <c r="N31" s="86">
        <v>112.4</v>
      </c>
      <c r="O31" s="84">
        <f t="shared" ca="1" si="0"/>
        <v>0.50872483221476517</v>
      </c>
      <c r="P31" s="84">
        <f t="shared" ca="1" si="1"/>
        <v>0.74534161490683226</v>
      </c>
    </row>
    <row r="32" spans="1:16" s="78" customFormat="1" ht="18" customHeight="1">
      <c r="A32" s="192"/>
      <c r="B32" s="85" t="s">
        <v>213</v>
      </c>
      <c r="C32" s="86"/>
      <c r="D32" s="86">
        <f ca="1">87*OFFSET(D$113,MATCH($N$1,$C$113:$C$114,0)-1,0)</f>
        <v>87</v>
      </c>
      <c r="E32" s="86">
        <f ca="1">66.5*OFFSET(E$113,MATCH($N$1,$C$113:$C$114,0)-1,0)</f>
        <v>66.5</v>
      </c>
      <c r="F32" s="86">
        <f ca="1">72.1*OFFSET(F$113,MATCH($N$1,$C$113:$C$114,0)-1,0)</f>
        <v>72.099999999999994</v>
      </c>
      <c r="G32" s="86">
        <f ca="1">98.9*OFFSET(G$113,MATCH($N$1,$C$113:$C$114,0)-1,0)</f>
        <v>98.9</v>
      </c>
      <c r="H32" s="86">
        <f ca="1">102.3*OFFSET(H$113,MATCH($N$1,$C$113:$C$114,0)-1,0)</f>
        <v>102.3</v>
      </c>
      <c r="I32" s="86">
        <f ca="1">94.4*OFFSET(I$113,MATCH($N$1,$C$113:$C$114,0)-1,0)</f>
        <v>94.4</v>
      </c>
      <c r="J32" s="86">
        <f ca="1">114.2*OFFSET(J$113,MATCH($N$1,$C$113:$C$114,0)-1,0)</f>
        <v>114.2</v>
      </c>
      <c r="K32" s="86">
        <f ca="1">129.3*OFFSET(K$113,MATCH($N$1,$C$113:$C$114,0)-1,0)</f>
        <v>129.30000000000001</v>
      </c>
      <c r="L32" s="86">
        <f ca="1">90.6*OFFSET(L$113,MATCH($N$1,$C$113:$C$114,0)-1,0)</f>
        <v>90.6</v>
      </c>
      <c r="M32" s="86">
        <f ca="1">103.5*OFFSET(M$113,MATCH($N$1,$C$113:$C$114,0)-1,0)</f>
        <v>103.5</v>
      </c>
      <c r="N32" s="86">
        <v>138.4</v>
      </c>
      <c r="O32" s="84">
        <f t="shared" ca="1" si="0"/>
        <v>0.59080459770114946</v>
      </c>
      <c r="P32" s="84">
        <f t="shared" ca="1" si="1"/>
        <v>0.21190893169877409</v>
      </c>
    </row>
    <row r="33" spans="1:16" s="78" customFormat="1" ht="18" customHeight="1">
      <c r="A33" s="192"/>
      <c r="B33" s="85" t="s">
        <v>214</v>
      </c>
      <c r="C33" s="86"/>
      <c r="D33" s="86">
        <f ca="1">49.2*OFFSET(D$113,MATCH($N$1,$C$113:$C$114,0)-1,0)</f>
        <v>49.2</v>
      </c>
      <c r="E33" s="86">
        <f ca="1">42.8*OFFSET(E$113,MATCH($N$1,$C$113:$C$114,0)-1,0)</f>
        <v>42.8</v>
      </c>
      <c r="F33" s="86">
        <f ca="1">43.7*OFFSET(F$113,MATCH($N$1,$C$113:$C$114,0)-1,0)</f>
        <v>43.7</v>
      </c>
      <c r="G33" s="86">
        <f ca="1">44.1*OFFSET(G$113,MATCH($N$1,$C$113:$C$114,0)-1,0)</f>
        <v>44.1</v>
      </c>
      <c r="H33" s="86">
        <f ca="1">35.7*OFFSET(H$113,MATCH($N$1,$C$113:$C$114,0)-1,0)</f>
        <v>35.700000000000003</v>
      </c>
      <c r="I33" s="86">
        <f ca="1">46.9*OFFSET(I$113,MATCH($N$1,$C$113:$C$114,0)-1,0)</f>
        <v>46.9</v>
      </c>
      <c r="J33" s="86">
        <f ca="1">31.6*OFFSET(J$113,MATCH($N$1,$C$113:$C$114,0)-1,0)</f>
        <v>31.6</v>
      </c>
      <c r="K33" s="86">
        <f ca="1">53.1*OFFSET(K$113,MATCH($N$1,$C$113:$C$114,0)-1,0)</f>
        <v>53.1</v>
      </c>
      <c r="L33" s="86">
        <f ca="1">42.3*OFFSET(L$113,MATCH($N$1,$C$113:$C$114,0)-1,0)</f>
        <v>42.3</v>
      </c>
      <c r="M33" s="86">
        <f ca="1">53.7*OFFSET(M$113,MATCH($N$1,$C$113:$C$114,0)-1,0)</f>
        <v>53.7</v>
      </c>
      <c r="N33" s="86">
        <v>74.3</v>
      </c>
      <c r="O33" s="84">
        <f t="shared" ca="1" si="0"/>
        <v>0.51016260162601612</v>
      </c>
      <c r="P33" s="84">
        <f t="shared" ca="1" si="1"/>
        <v>1.35126582278481</v>
      </c>
    </row>
    <row r="34" spans="1:16" s="78" customFormat="1" ht="18" customHeight="1">
      <c r="A34" s="192"/>
      <c r="B34" s="85" t="s">
        <v>215</v>
      </c>
      <c r="C34" s="86"/>
      <c r="D34" s="86">
        <f ca="1">210.7*OFFSET(D$113,MATCH($N$1,$C$113:$C$114,0)-1,0)</f>
        <v>210.7</v>
      </c>
      <c r="E34" s="86">
        <f ca="1">184*OFFSET(E$113,MATCH($N$1,$C$113:$C$114,0)-1,0)</f>
        <v>184</v>
      </c>
      <c r="F34" s="86">
        <f ca="1">188.9*OFFSET(F$113,MATCH($N$1,$C$113:$C$114,0)-1,0)</f>
        <v>188.9</v>
      </c>
      <c r="G34" s="86">
        <f ca="1">197.7*OFFSET(G$113,MATCH($N$1,$C$113:$C$114,0)-1,0)</f>
        <v>197.7</v>
      </c>
      <c r="H34" s="86">
        <f ca="1">181.3*OFFSET(H$113,MATCH($N$1,$C$113:$C$114,0)-1,0)</f>
        <v>181.3</v>
      </c>
      <c r="I34" s="86">
        <f ca="1">194.7*OFFSET(I$113,MATCH($N$1,$C$113:$C$114,0)-1,0)</f>
        <v>194.7</v>
      </c>
      <c r="J34" s="86">
        <f ca="1">210.1*OFFSET(J$113,MATCH($N$1,$C$113:$C$114,0)-1,0)</f>
        <v>210.1</v>
      </c>
      <c r="K34" s="86">
        <f ca="1">251.3*OFFSET(K$113,MATCH($N$1,$C$113:$C$114,0)-1,0)</f>
        <v>251.3</v>
      </c>
      <c r="L34" s="86">
        <f ca="1">173.4*OFFSET(L$113,MATCH($N$1,$C$113:$C$114,0)-1,0)</f>
        <v>173.4</v>
      </c>
      <c r="M34" s="86">
        <f ca="1">217.1*OFFSET(M$113,MATCH($N$1,$C$113:$C$114,0)-1,0)</f>
        <v>217.1</v>
      </c>
      <c r="N34" s="86">
        <v>325.10000000000002</v>
      </c>
      <c r="O34" s="84">
        <f t="shared" ca="1" si="0"/>
        <v>0.54295206454674916</v>
      </c>
      <c r="P34" s="84">
        <f t="shared" ca="1" si="1"/>
        <v>0.5473584007615423</v>
      </c>
    </row>
    <row r="35" spans="1:16" s="78" customFormat="1" ht="18" customHeight="1">
      <c r="A35" s="192"/>
      <c r="B35" s="85" t="s">
        <v>216</v>
      </c>
      <c r="C35" s="86"/>
      <c r="D35" s="86">
        <f ca="1">39.5*OFFSET(D$113,MATCH($N$1,$C$113:$C$114,0)-1,0)</f>
        <v>39.5</v>
      </c>
      <c r="E35" s="86">
        <f ca="1">48.6*OFFSET(E$113,MATCH($N$1,$C$113:$C$114,0)-1,0)</f>
        <v>48.6</v>
      </c>
      <c r="F35" s="86">
        <f ca="1">68.7*OFFSET(F$113,MATCH($N$1,$C$113:$C$114,0)-1,0)</f>
        <v>68.7</v>
      </c>
      <c r="G35" s="86">
        <f ca="1">48.3*OFFSET(G$113,MATCH($N$1,$C$113:$C$114,0)-1,0)</f>
        <v>48.3</v>
      </c>
      <c r="H35" s="86">
        <f ca="1">46.6*OFFSET(H$113,MATCH($N$1,$C$113:$C$114,0)-1,0)</f>
        <v>46.6</v>
      </c>
      <c r="I35" s="86">
        <f ca="1">56.9*OFFSET(I$113,MATCH($N$1,$C$113:$C$114,0)-1,0)</f>
        <v>56.9</v>
      </c>
      <c r="J35" s="86">
        <f ca="1">79.4*OFFSET(J$113,MATCH($N$1,$C$113:$C$114,0)-1,0)</f>
        <v>79.400000000000006</v>
      </c>
      <c r="K35" s="86">
        <f ca="1">94.9*OFFSET(K$113,MATCH($N$1,$C$113:$C$114,0)-1,0)</f>
        <v>94.9</v>
      </c>
      <c r="L35" s="86">
        <f ca="1">68.8*OFFSET(L$113,MATCH($N$1,$C$113:$C$114,0)-1,0)</f>
        <v>68.8</v>
      </c>
      <c r="M35" s="86">
        <f ca="1">82.8*OFFSET(M$113,MATCH($N$1,$C$113:$C$114,0)-1,0)</f>
        <v>82.8</v>
      </c>
      <c r="N35" s="86">
        <v>120.7</v>
      </c>
      <c r="O35" s="84">
        <f t="shared" ca="1" si="0"/>
        <v>2.0556962025316454</v>
      </c>
      <c r="P35" s="84">
        <f t="shared" ca="1" si="1"/>
        <v>0.52015113350125941</v>
      </c>
    </row>
    <row r="36" spans="1:16" s="78" customFormat="1" ht="18" customHeight="1">
      <c r="A36" s="192"/>
      <c r="B36" s="85" t="s">
        <v>217</v>
      </c>
      <c r="C36" s="86"/>
      <c r="D36" s="86">
        <f ca="1">250.2*OFFSET(D$113,MATCH($N$1,$C$113:$C$114,0)-1,0)</f>
        <v>250.2</v>
      </c>
      <c r="E36" s="86">
        <f ca="1">232.6*OFFSET(E$113,MATCH($N$1,$C$113:$C$114,0)-1,0)</f>
        <v>232.6</v>
      </c>
      <c r="F36" s="86">
        <f ca="1">257.5*OFFSET(F$113,MATCH($N$1,$C$113:$C$114,0)-1,0)</f>
        <v>257.5</v>
      </c>
      <c r="G36" s="86">
        <f ca="1">246*OFFSET(G$113,MATCH($N$1,$C$113:$C$114,0)-1,0)</f>
        <v>246</v>
      </c>
      <c r="H36" s="86">
        <f ca="1">227.9*OFFSET(H$113,MATCH($N$1,$C$113:$C$114,0)-1,0)</f>
        <v>227.9</v>
      </c>
      <c r="I36" s="86">
        <f ca="1">251.6*OFFSET(I$113,MATCH($N$1,$C$113:$C$114,0)-1,0)</f>
        <v>251.6</v>
      </c>
      <c r="J36" s="86">
        <f ca="1">289.5*OFFSET(J$113,MATCH($N$1,$C$113:$C$114,0)-1,0)</f>
        <v>289.5</v>
      </c>
      <c r="K36" s="86">
        <f ca="1">346.2*OFFSET(K$113,MATCH($N$1,$C$113:$C$114,0)-1,0)</f>
        <v>346.2</v>
      </c>
      <c r="L36" s="86">
        <f ca="1">242.1*OFFSET(L$113,MATCH($N$1,$C$113:$C$114,0)-1,0)</f>
        <v>242.1</v>
      </c>
      <c r="M36" s="86">
        <f ca="1">299.9*OFFSET(M$113,MATCH($N$1,$C$113:$C$114,0)-1,0)</f>
        <v>299.89999999999998</v>
      </c>
      <c r="N36" s="86">
        <v>445.90000000000003</v>
      </c>
      <c r="O36" s="84">
        <f t="shared" ca="1" si="0"/>
        <v>0.78217426059152695</v>
      </c>
      <c r="P36" s="84">
        <f t="shared" ca="1" si="1"/>
        <v>0.54024179620034551</v>
      </c>
    </row>
    <row r="37" spans="1:16" s="78" customFormat="1" ht="18" customHeight="1">
      <c r="A37" s="192"/>
      <c r="B37" s="87" t="s">
        <v>218</v>
      </c>
      <c r="C37" s="88"/>
      <c r="D37" s="88">
        <f ca="1">172.7*OFFSET(D$113,MATCH($N$1,$C$113:$C$114,0)-1,0)</f>
        <v>172.7</v>
      </c>
      <c r="E37" s="88">
        <f ca="1">122.4*OFFSET(E$113,MATCH($N$1,$C$113:$C$114,0)-1,0)</f>
        <v>122.4</v>
      </c>
      <c r="F37" s="88">
        <f ca="1">125.4*OFFSET(F$113,MATCH($N$1,$C$113:$C$114,0)-1,0)</f>
        <v>125.4</v>
      </c>
      <c r="G37" s="88">
        <f ca="1">192.4*OFFSET(G$113,MATCH($N$1,$C$113:$C$114,0)-1,0)</f>
        <v>192.4</v>
      </c>
      <c r="H37" s="88">
        <f ca="1">201*OFFSET(H$113,MATCH($N$1,$C$113:$C$114,0)-1,0)</f>
        <v>201</v>
      </c>
      <c r="I37" s="88">
        <f ca="1">180*OFFSET(I$113,MATCH($N$1,$C$113:$C$114,0)-1,0)</f>
        <v>180</v>
      </c>
      <c r="J37" s="88">
        <f ca="1">173.7*OFFSET(J$113,MATCH($N$1,$C$113:$C$114,0)-1,0)</f>
        <v>173.7</v>
      </c>
      <c r="K37" s="88">
        <f ca="1">253.2*OFFSET(K$113,MATCH($N$1,$C$113:$C$114,0)-1,0)</f>
        <v>253.2</v>
      </c>
      <c r="L37" s="88">
        <f ca="1">161.8*OFFSET(L$113,MATCH($N$1,$C$113:$C$114,0)-1,0)</f>
        <v>161.80000000000001</v>
      </c>
      <c r="M37" s="88">
        <f ca="1">157.6*OFFSET(M$113,MATCH($N$1,$C$113:$C$114,0)-1,0)</f>
        <v>157.6</v>
      </c>
      <c r="N37" s="88">
        <v>171.2</v>
      </c>
      <c r="O37" s="84">
        <f t="shared" ca="1" si="0"/>
        <v>-8.6855819339895779E-3</v>
      </c>
      <c r="P37" s="84">
        <f t="shared" ca="1" si="1"/>
        <v>-1.4392630972941856E-2</v>
      </c>
    </row>
    <row r="38" spans="1:16" s="78" customFormat="1" ht="18" customHeight="1">
      <c r="A38" s="192"/>
      <c r="B38" s="87" t="s">
        <v>219</v>
      </c>
      <c r="C38" s="88"/>
      <c r="D38" s="88">
        <f ca="1">85.7*OFFSET(D$113,MATCH($N$1,$C$113:$C$114,0)-1,0)</f>
        <v>85.7</v>
      </c>
      <c r="E38" s="88">
        <f ca="1">55.9*OFFSET(E$113,MATCH($N$1,$C$113:$C$114,0)-1,0)</f>
        <v>55.9</v>
      </c>
      <c r="F38" s="88">
        <f ca="1">53.3*OFFSET(F$113,MATCH($N$1,$C$113:$C$114,0)-1,0)</f>
        <v>53.3</v>
      </c>
      <c r="G38" s="88">
        <f ca="1">93.5*OFFSET(G$113,MATCH($N$1,$C$113:$C$114,0)-1,0)</f>
        <v>93.5</v>
      </c>
      <c r="H38" s="88">
        <f ca="1">98.7*OFFSET(H$113,MATCH($N$1,$C$113:$C$114,0)-1,0)</f>
        <v>98.7</v>
      </c>
      <c r="I38" s="88">
        <f ca="1">85.6*OFFSET(I$113,MATCH($N$1,$C$113:$C$114,0)-1,0)</f>
        <v>85.6</v>
      </c>
      <c r="J38" s="88">
        <f ca="1">59.5*OFFSET(J$113,MATCH($N$1,$C$113:$C$114,0)-1,0)</f>
        <v>59.5</v>
      </c>
      <c r="K38" s="88">
        <f ca="1">123.9*OFFSET(K$113,MATCH($N$1,$C$113:$C$114,0)-1,0)</f>
        <v>123.9</v>
      </c>
      <c r="L38" s="88">
        <f ca="1">71.2*OFFSET(L$113,MATCH($N$1,$C$113:$C$114,0)-1,0)</f>
        <v>71.2</v>
      </c>
      <c r="M38" s="88">
        <f ca="1">54.1*OFFSET(M$113,MATCH($N$1,$C$113:$C$114,0)-1,0)</f>
        <v>54.1</v>
      </c>
      <c r="N38" s="88">
        <v>32.799999999999997</v>
      </c>
      <c r="O38" s="84">
        <f t="shared" ca="1" si="0"/>
        <v>-0.61726954492415409</v>
      </c>
      <c r="P38" s="84">
        <f t="shared" ca="1" si="1"/>
        <v>-0.4487394957983194</v>
      </c>
    </row>
    <row r="39" spans="1:16" s="78" customFormat="1" ht="18" customHeight="1">
      <c r="A39" s="192"/>
      <c r="B39" s="85" t="s">
        <v>220</v>
      </c>
      <c r="C39" s="86"/>
      <c r="D39" s="86">
        <f ca="1">6.8*OFFSET(D$113,MATCH($N$1,$C$113:$C$114,0)-1,0)</f>
        <v>6.8</v>
      </c>
      <c r="E39" s="86">
        <f ca="1">24.8*OFFSET(E$113,MATCH($N$1,$C$113:$C$114,0)-1,0)</f>
        <v>24.8</v>
      </c>
      <c r="F39" s="86">
        <f ca="1">13.1*OFFSET(F$113,MATCH($N$1,$C$113:$C$114,0)-1,0)</f>
        <v>13.1</v>
      </c>
      <c r="G39" s="86">
        <f ca="1">21.8*OFFSET(G$113,MATCH($N$1,$C$113:$C$114,0)-1,0)</f>
        <v>21.8</v>
      </c>
      <c r="H39" s="86">
        <f ca="1">47.8*OFFSET(H$113,MATCH($N$1,$C$113:$C$114,0)-1,0)</f>
        <v>47.8</v>
      </c>
      <c r="I39" s="86">
        <f ca="1">55*OFFSET(I$113,MATCH($N$1,$C$113:$C$114,0)-1,0)</f>
        <v>55</v>
      </c>
      <c r="J39" s="86">
        <f ca="1">15.7*OFFSET(J$113,MATCH($N$1,$C$113:$C$114,0)-1,0)</f>
        <v>15.7</v>
      </c>
      <c r="K39" s="86">
        <f ca="1">15.7*OFFSET(K$113,MATCH($N$1,$C$113:$C$114,0)-1,0)</f>
        <v>15.7</v>
      </c>
      <c r="L39" s="86">
        <f ca="1">17.6*OFFSET(L$113,MATCH($N$1,$C$113:$C$114,0)-1,0)</f>
        <v>17.600000000000001</v>
      </c>
      <c r="M39" s="86">
        <f ca="1">51.2*OFFSET(M$113,MATCH($N$1,$C$113:$C$114,0)-1,0)</f>
        <v>51.2</v>
      </c>
      <c r="N39" s="86"/>
      <c r="O39" s="84" t="str">
        <f t="shared" si="0"/>
        <v/>
      </c>
      <c r="P39" s="84" t="str">
        <f t="shared" si="1"/>
        <v/>
      </c>
    </row>
    <row r="40" spans="1:16" s="78" customFormat="1" ht="18" customHeight="1">
      <c r="A40" s="192"/>
      <c r="B40" s="85" t="s">
        <v>221</v>
      </c>
      <c r="C40" s="86"/>
      <c r="D40" s="86">
        <f ca="1">0.9*OFFSET(D$113,MATCH($N$1,$C$113:$C$114,0)-1,0)</f>
        <v>0.9</v>
      </c>
      <c r="E40" s="86">
        <f ca="1">5.7*OFFSET(E$113,MATCH($N$1,$C$113:$C$114,0)-1,0)</f>
        <v>5.7</v>
      </c>
      <c r="F40" s="86">
        <f ca="1">2.9*OFFSET(F$113,MATCH($N$1,$C$113:$C$114,0)-1,0)</f>
        <v>2.9</v>
      </c>
      <c r="G40" s="86">
        <f ca="1">3.4*OFFSET(G$113,MATCH($N$1,$C$113:$C$114,0)-1,0)</f>
        <v>3.4</v>
      </c>
      <c r="H40" s="86">
        <f ca="1">2.1*OFFSET(H$113,MATCH($N$1,$C$113:$C$114,0)-1,0)</f>
        <v>2.1</v>
      </c>
      <c r="I40" s="86">
        <f ca="1">3*OFFSET(I$113,MATCH($N$1,$C$113:$C$114,0)-1,0)</f>
        <v>3</v>
      </c>
      <c r="J40" s="86">
        <f ca="1">2.9*OFFSET(J$113,MATCH($N$1,$C$113:$C$114,0)-1,0)</f>
        <v>2.9</v>
      </c>
      <c r="K40" s="86">
        <f ca="1">5.4*OFFSET(K$113,MATCH($N$1,$C$113:$C$114,0)-1,0)</f>
        <v>5.4</v>
      </c>
      <c r="L40" s="86">
        <f ca="1">2.4*OFFSET(L$113,MATCH($N$1,$C$113:$C$114,0)-1,0)</f>
        <v>2.4</v>
      </c>
      <c r="M40" s="86">
        <f ca="1">0.3*OFFSET(M$113,MATCH($N$1,$C$113:$C$114,0)-1,0)</f>
        <v>0.3</v>
      </c>
      <c r="N40" s="86"/>
      <c r="O40" s="84" t="str">
        <f t="shared" si="0"/>
        <v/>
      </c>
      <c r="P40" s="84" t="str">
        <f t="shared" si="1"/>
        <v/>
      </c>
    </row>
    <row r="41" spans="1:16" s="78" customFormat="1" ht="18" customHeight="1">
      <c r="A41" s="192"/>
      <c r="B41" s="85" t="s">
        <v>222</v>
      </c>
      <c r="C41" s="86"/>
      <c r="D41" s="86">
        <f ca="1">0.8*OFFSET(D$113,MATCH($N$1,$C$113:$C$114,0)-1,0)</f>
        <v>0.8</v>
      </c>
      <c r="E41" s="86">
        <f ca="1">5.2*OFFSET(E$113,MATCH($N$1,$C$113:$C$114,0)-1,0)</f>
        <v>5.2</v>
      </c>
      <c r="F41" s="86">
        <f ca="1">2.3*OFFSET(F$113,MATCH($N$1,$C$113:$C$114,0)-1,0)</f>
        <v>2.2999999999999998</v>
      </c>
      <c r="G41" s="86">
        <f ca="1">28.1*OFFSET(G$113,MATCH($N$1,$C$113:$C$114,0)-1,0)</f>
        <v>28.1</v>
      </c>
      <c r="H41" s="86">
        <f ca="1">0.3*OFFSET(H$113,MATCH($N$1,$C$113:$C$114,0)-1,0)</f>
        <v>0.3</v>
      </c>
      <c r="I41" s="86">
        <f ca="1">1.1*OFFSET(I$113,MATCH($N$1,$C$113:$C$114,0)-1,0)</f>
        <v>1.1000000000000001</v>
      </c>
      <c r="J41" s="86">
        <f ca="1">0.4*OFFSET(J$113,MATCH($N$1,$C$113:$C$114,0)-1,0)</f>
        <v>0.4</v>
      </c>
      <c r="K41" s="86">
        <f ca="1">0.3*OFFSET(K$113,MATCH($N$1,$C$113:$C$114,0)-1,0)</f>
        <v>0.3</v>
      </c>
      <c r="L41" s="86">
        <f ca="1">0.3*OFFSET(L$113,MATCH($N$1,$C$113:$C$114,0)-1,0)</f>
        <v>0.3</v>
      </c>
      <c r="M41" s="86">
        <f ca="1">0.2*OFFSET(M$113,MATCH($N$1,$C$113:$C$114,0)-1,0)</f>
        <v>0.2</v>
      </c>
      <c r="N41" s="86"/>
      <c r="O41" s="84" t="str">
        <f t="shared" si="0"/>
        <v/>
      </c>
      <c r="P41" s="84" t="str">
        <f t="shared" si="1"/>
        <v/>
      </c>
    </row>
    <row r="42" spans="1:16" s="78" customFormat="1" ht="18" customHeight="1" thickBot="1">
      <c r="A42" s="193"/>
      <c r="B42" s="89" t="s">
        <v>223</v>
      </c>
      <c r="C42" s="90"/>
      <c r="D42" s="90">
        <f ca="1">77.2*OFFSET(D$113,MATCH($N$1,$C$113:$C$114,0)-1,0)</f>
        <v>77.2</v>
      </c>
      <c r="E42" s="90">
        <f ca="1">20.1*OFFSET(E$113,MATCH($N$1,$C$113:$C$114,0)-1,0)</f>
        <v>20.100000000000001</v>
      </c>
      <c r="F42" s="90">
        <f ca="1">35*OFFSET(F$113,MATCH($N$1,$C$113:$C$114,0)-1,0)</f>
        <v>35</v>
      </c>
      <c r="G42" s="90">
        <f ca="1">40*OFFSET(G$113,MATCH($N$1,$C$113:$C$114,0)-1,0)</f>
        <v>40</v>
      </c>
      <c r="H42" s="90">
        <f ca="1">48.5*OFFSET(H$113,MATCH($N$1,$C$113:$C$114,0)-1,0)</f>
        <v>48.5</v>
      </c>
      <c r="I42" s="90">
        <f ca="1">26.5*OFFSET(I$113,MATCH($N$1,$C$113:$C$114,0)-1,0)</f>
        <v>26.5</v>
      </c>
      <c r="J42" s="90">
        <f ca="1">40.5*OFFSET(J$113,MATCH($N$1,$C$113:$C$114,0)-1,0)</f>
        <v>40.5</v>
      </c>
      <c r="K42" s="90">
        <f ca="1">102.6*OFFSET(K$113,MATCH($N$1,$C$113:$C$114,0)-1,0)</f>
        <v>102.6</v>
      </c>
      <c r="L42" s="90">
        <f ca="1">51*OFFSET(L$113,MATCH($N$1,$C$113:$C$114,0)-1,0)</f>
        <v>51</v>
      </c>
      <c r="M42" s="90">
        <f ca="1">2.4*OFFSET(M$113,MATCH($N$1,$C$113:$C$114,0)-1,0)</f>
        <v>2.4</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Area VIIA nephrops over 250kW</v>
      </c>
      <c r="C49" s="101"/>
      <c r="D49" s="101"/>
      <c r="E49" s="101"/>
      <c r="F49" s="101"/>
      <c r="G49" s="101"/>
      <c r="K49" s="101" t="str">
        <f>$B25&amp;CHAR(10)&amp;$A$1</f>
        <v>Operating profit per kW day at sea (£)
Area VIIA nephrops over 250kW</v>
      </c>
    </row>
    <row r="50" spans="1:11" s="78" customFormat="1">
      <c r="A50" s="101" t="str">
        <f>$B23&amp;CHAR(10)&amp;$A$1</f>
        <v>Fishing income per kW day at sea (£)
Area VIIA nephrops over 250kW</v>
      </c>
    </row>
    <row r="51" spans="1:11" s="78" customFormat="1">
      <c r="A51" s="101" t="str">
        <f>$B21&amp;CHAR(10)&amp;$A$1</f>
        <v>Average price per tonne landed (£)
Area VIIA nephrops over 250kW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Area VIIA nephrops over 250kW</v>
      </c>
      <c r="F63" s="101" t="str">
        <f>$B21&amp;CHAR(10)&amp;$A$1</f>
        <v>Average price per tonne landed (£)
Area VIIA nephrops over 250kW</v>
      </c>
      <c r="K63" s="101" t="str">
        <f>"Average annual operating profit per vessel (£'000)"&amp;CHAR(10)&amp;$A$1</f>
        <v>Average annual operating profit per vessel (£'000)
Area VIIA nephrops over 250kW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Area VIIA nephrops over 250kW</v>
      </c>
      <c r="F77" s="101" t="str">
        <f>"Top 5 landed species by value in "&amp;A78&amp;CHAR(10)&amp;A1</f>
        <v>Top 5 landed species by value in 2021
Area VIIA nephrops over 250kW</v>
      </c>
    </row>
    <row r="78" spans="1:11" s="101" customFormat="1">
      <c r="A78" s="101">
        <v>2021</v>
      </c>
      <c r="B78" s="101" t="s">
        <v>281</v>
      </c>
      <c r="C78" s="102">
        <v>0.84979542254344997</v>
      </c>
      <c r="D78" s="103">
        <v>12153634</v>
      </c>
      <c r="G78" s="101" t="s">
        <v>282</v>
      </c>
      <c r="H78" s="102">
        <v>0.92250492743235979</v>
      </c>
      <c r="I78" s="103">
        <v>12153634</v>
      </c>
      <c r="K78" s="101" t="s">
        <v>237</v>
      </c>
    </row>
    <row r="79" spans="1:11" s="101" customFormat="1">
      <c r="B79" s="101" t="s">
        <v>283</v>
      </c>
      <c r="C79" s="102">
        <v>8.0996296720355063E-2</v>
      </c>
      <c r="D79" s="103">
        <v>3050596</v>
      </c>
      <c r="G79" s="101" t="s">
        <v>284</v>
      </c>
      <c r="H79" s="102">
        <v>2.5606842880161743E-2</v>
      </c>
      <c r="I79" s="103">
        <v>553960</v>
      </c>
    </row>
    <row r="80" spans="1:11" s="101" customFormat="1">
      <c r="B80" s="101" t="s">
        <v>285</v>
      </c>
      <c r="C80" s="102">
        <v>2.2989872941231976E-2</v>
      </c>
      <c r="D80" s="103">
        <v>553960</v>
      </c>
      <c r="G80" s="101" t="s">
        <v>286</v>
      </c>
      <c r="H80" s="102">
        <v>1.0012003347983543E-2</v>
      </c>
      <c r="I80" s="103">
        <v>3050596</v>
      </c>
    </row>
    <row r="81" spans="1:19" s="101" customFormat="1">
      <c r="B81" s="101" t="s">
        <v>287</v>
      </c>
      <c r="C81" s="102">
        <v>1.4884028224477874E-2</v>
      </c>
      <c r="D81" s="103">
        <v>3689192</v>
      </c>
      <c r="G81" s="101" t="s">
        <v>288</v>
      </c>
      <c r="H81" s="102">
        <v>7.8998443850422269E-3</v>
      </c>
      <c r="I81" s="103">
        <v>1692097</v>
      </c>
    </row>
    <row r="82" spans="1:19" s="101" customFormat="1">
      <c r="B82" s="101" t="s">
        <v>289</v>
      </c>
      <c r="C82" s="102">
        <v>1.0724760877203279E-2</v>
      </c>
      <c r="D82" s="103">
        <v>11115023</v>
      </c>
      <c r="G82" s="101" t="s">
        <v>290</v>
      </c>
      <c r="H82" s="102">
        <v>7.8214778119099146E-3</v>
      </c>
      <c r="I82" s="103">
        <v>3689192</v>
      </c>
    </row>
    <row r="83" spans="1:19" s="101" customFormat="1">
      <c r="B83" s="101" t="s">
        <v>291</v>
      </c>
      <c r="C83" s="102">
        <v>2.0609618693281817E-2</v>
      </c>
      <c r="D83" s="103">
        <v>5920853</v>
      </c>
      <c r="G83" s="101" t="s">
        <v>292</v>
      </c>
      <c r="H83" s="102">
        <v>2.6154904142542734E-2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0.85618417137340519</v>
      </c>
      <c r="E93" s="107">
        <v>0.89523202079674202</v>
      </c>
      <c r="F93" s="107">
        <v>0.90538709198932132</v>
      </c>
      <c r="G93" s="107">
        <v>0.90801856381936086</v>
      </c>
      <c r="H93" s="107">
        <v>0.88936428511554599</v>
      </c>
      <c r="I93" s="107">
        <v>0.85324076417206496</v>
      </c>
      <c r="J93" s="107">
        <v>0.91657921392830921</v>
      </c>
      <c r="K93" s="107">
        <v>0.92341228690734312</v>
      </c>
      <c r="L93" s="107">
        <v>0.92250492743235979</v>
      </c>
      <c r="M93" s="107">
        <v>0.94174812189957813</v>
      </c>
      <c r="O93" s="101">
        <v>12153634</v>
      </c>
    </row>
    <row r="94" spans="1:19" s="101" customFormat="1" hidden="1">
      <c r="B94" s="101">
        <v>2</v>
      </c>
      <c r="C94" s="101" t="s">
        <v>161</v>
      </c>
      <c r="D94" s="107">
        <v>2.8196673500769938E-2</v>
      </c>
      <c r="E94" s="107">
        <v>2.71442427934948E-2</v>
      </c>
      <c r="F94" s="107">
        <v>1.7377771930080096E-2</v>
      </c>
      <c r="G94" s="107">
        <v>2.7994843155328089E-2</v>
      </c>
      <c r="H94" s="107">
        <v>3.5561311414411607E-2</v>
      </c>
      <c r="I94" s="107">
        <v>3.393530712684479E-2</v>
      </c>
      <c r="J94" s="107">
        <v>2.0837221722469889E-2</v>
      </c>
      <c r="K94" s="107">
        <v>2.21296387436297E-2</v>
      </c>
      <c r="L94" s="107">
        <v>2.5606842880161743E-2</v>
      </c>
      <c r="M94" s="107">
        <v>1.2863417708517165E-2</v>
      </c>
      <c r="O94" s="101">
        <v>553960</v>
      </c>
    </row>
    <row r="95" spans="1:19" s="101" customFormat="1" hidden="1">
      <c r="B95" s="101">
        <v>3</v>
      </c>
      <c r="C95" s="101" t="s">
        <v>293</v>
      </c>
      <c r="D95" s="107"/>
      <c r="E95" s="107"/>
      <c r="F95" s="107"/>
      <c r="G95" s="107"/>
      <c r="H95" s="107">
        <v>6.7917748800742431E-3</v>
      </c>
      <c r="I95" s="107"/>
      <c r="J95" s="107"/>
      <c r="K95" s="107">
        <v>1.3112109127127163E-2</v>
      </c>
      <c r="L95" s="107">
        <v>1.0012003347983543E-2</v>
      </c>
      <c r="M95" s="107">
        <v>7.836107337123966E-3</v>
      </c>
      <c r="O95" s="101">
        <v>3050596</v>
      </c>
    </row>
    <row r="96" spans="1:19" s="101" customFormat="1" hidden="1">
      <c r="B96" s="101">
        <v>4</v>
      </c>
      <c r="C96" s="101" t="s">
        <v>175</v>
      </c>
      <c r="D96" s="107"/>
      <c r="E96" s="107"/>
      <c r="F96" s="107"/>
      <c r="G96" s="107"/>
      <c r="H96" s="107"/>
      <c r="I96" s="107"/>
      <c r="J96" s="107"/>
      <c r="K96" s="107"/>
      <c r="L96" s="107">
        <v>7.8998443850422269E-3</v>
      </c>
      <c r="M96" s="107">
        <v>6.6972679394139241E-3</v>
      </c>
      <c r="O96" s="101">
        <v>1692097</v>
      </c>
    </row>
    <row r="97" spans="1:15" s="101" customFormat="1" hidden="1">
      <c r="B97" s="101">
        <v>5</v>
      </c>
      <c r="C97" s="101" t="s">
        <v>156</v>
      </c>
      <c r="D97" s="107">
        <v>1.5225513977781598E-2</v>
      </c>
      <c r="E97" s="107">
        <v>1.2621824392172899E-2</v>
      </c>
      <c r="F97" s="107">
        <v>2.4752147455914617E-2</v>
      </c>
      <c r="G97" s="107">
        <v>2.9590890157459349E-2</v>
      </c>
      <c r="H97" s="107">
        <v>2.4221577086801307E-2</v>
      </c>
      <c r="I97" s="107">
        <v>3.2961328987526184E-2</v>
      </c>
      <c r="J97" s="107">
        <v>1.945415772381268E-2</v>
      </c>
      <c r="K97" s="107">
        <v>1.0641962547819343E-2</v>
      </c>
      <c r="L97" s="107">
        <v>7.8214778119099146E-3</v>
      </c>
      <c r="M97" s="107"/>
      <c r="O97" s="101">
        <v>3689192</v>
      </c>
    </row>
    <row r="98" spans="1:15" s="101" customFormat="1" hidden="1">
      <c r="B98" s="101">
        <v>6</v>
      </c>
      <c r="C98" s="101" t="s">
        <v>165</v>
      </c>
      <c r="D98" s="107"/>
      <c r="E98" s="107"/>
      <c r="F98" s="107">
        <v>1.3695671589830297E-2</v>
      </c>
      <c r="G98" s="107"/>
      <c r="H98" s="107"/>
      <c r="I98" s="107"/>
      <c r="J98" s="107"/>
      <c r="K98" s="107"/>
      <c r="L98" s="107"/>
      <c r="M98" s="107">
        <v>7.0020094343529096E-3</v>
      </c>
      <c r="O98" s="101">
        <v>11115023</v>
      </c>
    </row>
    <row r="99" spans="1:15" s="101" customFormat="1" hidden="1">
      <c r="B99" s="101">
        <v>7</v>
      </c>
      <c r="C99" s="101" t="s">
        <v>168</v>
      </c>
      <c r="D99" s="107">
        <v>2.5935553367110113E-2</v>
      </c>
      <c r="E99" s="107">
        <v>1.7462817663215741E-2</v>
      </c>
      <c r="F99" s="107"/>
      <c r="G99" s="107"/>
      <c r="H99" s="107"/>
      <c r="I99" s="107"/>
      <c r="J99" s="107">
        <v>6.9360240115864764E-3</v>
      </c>
      <c r="K99" s="107">
        <v>7.8608478907203731E-3</v>
      </c>
      <c r="L99" s="107"/>
      <c r="M99" s="107"/>
      <c r="O99" s="101">
        <v>2480382</v>
      </c>
    </row>
    <row r="100" spans="1:15" s="101" customFormat="1" hidden="1">
      <c r="B100" s="101">
        <v>8</v>
      </c>
      <c r="C100" s="101" t="s">
        <v>180</v>
      </c>
      <c r="D100" s="107"/>
      <c r="E100" s="107"/>
      <c r="F100" s="107"/>
      <c r="G100" s="107"/>
      <c r="H100" s="107">
        <v>1.4326798435040594E-2</v>
      </c>
      <c r="I100" s="107">
        <v>1.8621805524161972E-2</v>
      </c>
      <c r="J100" s="107">
        <v>8.2859654031980506E-3</v>
      </c>
      <c r="K100" s="107"/>
      <c r="L100" s="107"/>
      <c r="M100" s="107"/>
      <c r="O100" s="101">
        <v>7434864</v>
      </c>
    </row>
    <row r="101" spans="1:15" s="101" customFormat="1" hidden="1">
      <c r="B101" s="101">
        <v>9</v>
      </c>
      <c r="C101" s="101" t="s">
        <v>181</v>
      </c>
      <c r="D101" s="107"/>
      <c r="E101" s="107"/>
      <c r="F101" s="107"/>
      <c r="G101" s="107"/>
      <c r="H101" s="107"/>
      <c r="I101" s="107">
        <v>9.5386663454149808E-3</v>
      </c>
      <c r="J101" s="107"/>
      <c r="K101" s="107"/>
      <c r="L101" s="107"/>
      <c r="M101" s="107"/>
      <c r="O101" s="101">
        <v>8497745</v>
      </c>
    </row>
    <row r="102" spans="1:15" s="101" customFormat="1" hidden="1">
      <c r="B102" s="101">
        <v>10</v>
      </c>
      <c r="C102" s="101" t="s">
        <v>250</v>
      </c>
      <c r="D102" s="107"/>
      <c r="E102" s="107">
        <v>7.5468996857039417E-3</v>
      </c>
      <c r="F102" s="107">
        <v>6.775669790932505E-3</v>
      </c>
      <c r="G102" s="107">
        <v>3.9668573181150203E-3</v>
      </c>
      <c r="H102" s="107"/>
      <c r="I102" s="107"/>
      <c r="J102" s="107"/>
      <c r="K102" s="107"/>
      <c r="L102" s="107"/>
      <c r="M102" s="107"/>
      <c r="O102" s="101">
        <v>14393110</v>
      </c>
    </row>
    <row r="103" spans="1:15" s="101" customFormat="1" hidden="1">
      <c r="B103" s="101">
        <v>11</v>
      </c>
      <c r="C103" s="101" t="s">
        <v>294</v>
      </c>
      <c r="D103" s="107"/>
      <c r="E103" s="107"/>
      <c r="F103" s="107"/>
      <c r="G103" s="107">
        <v>3.9388529449838373E-3</v>
      </c>
      <c r="H103" s="107"/>
      <c r="I103" s="107"/>
      <c r="J103" s="107"/>
      <c r="K103" s="107"/>
      <c r="L103" s="107"/>
      <c r="M103" s="107"/>
      <c r="O103" s="101">
        <v>2887140</v>
      </c>
    </row>
    <row r="104" spans="1:15" s="101" customFormat="1" hidden="1">
      <c r="B104" s="101">
        <v>12</v>
      </c>
      <c r="C104" s="101" t="s">
        <v>249</v>
      </c>
      <c r="D104" s="107">
        <v>1.2099713190350038E-2</v>
      </c>
      <c r="E104" s="107"/>
      <c r="F104" s="107"/>
      <c r="G104" s="107"/>
      <c r="H104" s="107"/>
      <c r="I104" s="107"/>
      <c r="J104" s="107"/>
      <c r="K104" s="107"/>
      <c r="L104" s="107"/>
      <c r="M104" s="107"/>
      <c r="O104" s="101">
        <v>15057844</v>
      </c>
    </row>
    <row r="105" spans="1:15" s="101" customFormat="1" hidden="1">
      <c r="B105" s="101">
        <v>13</v>
      </c>
      <c r="C105" s="101" t="s">
        <v>251</v>
      </c>
      <c r="D105" s="107">
        <v>6.2358374590583139E-2</v>
      </c>
      <c r="E105" s="107">
        <v>3.9992194668670641E-2</v>
      </c>
      <c r="F105" s="107">
        <v>3.2011647243921131E-2</v>
      </c>
      <c r="G105" s="107">
        <v>2.6489992604752901E-2</v>
      </c>
      <c r="H105" s="107">
        <v>2.9734253068126246E-2</v>
      </c>
      <c r="I105" s="107">
        <v>5.1702127843987131E-2</v>
      </c>
      <c r="J105" s="107">
        <v>2.790741721062364E-2</v>
      </c>
      <c r="K105" s="107">
        <v>2.2843154783360256E-2</v>
      </c>
      <c r="L105" s="107">
        <v>2.6154904142542779E-2</v>
      </c>
      <c r="M105" s="107">
        <v>2.3853075681013906E-2</v>
      </c>
      <c r="O105" s="101">
        <v>5920853</v>
      </c>
    </row>
    <row r="106" spans="1:15" s="101" customFormat="1" hidden="1">
      <c r="B106" s="101">
        <v>14</v>
      </c>
      <c r="D106" s="107"/>
      <c r="E106" s="107"/>
      <c r="F106" s="107"/>
      <c r="G106" s="107"/>
      <c r="H106" s="107"/>
      <c r="I106" s="107"/>
      <c r="J106" s="107"/>
      <c r="K106" s="107"/>
      <c r="L106" s="107"/>
      <c r="M106" s="107"/>
      <c r="O106" s="101">
        <v>10931653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14</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7</v>
      </c>
      <c r="D121" s="52">
        <v>15</v>
      </c>
      <c r="E121" s="52">
        <v>7</v>
      </c>
      <c r="F121" s="53">
        <v>29</v>
      </c>
    </row>
    <row r="122" spans="1:15" ht="18" customHeight="1">
      <c r="A122" s="186" t="s">
        <v>198</v>
      </c>
      <c r="B122" s="35" t="s">
        <v>199</v>
      </c>
      <c r="C122" s="54">
        <v>19.595714569091797</v>
      </c>
      <c r="D122" s="54">
        <v>20.266666412353516</v>
      </c>
      <c r="E122" s="54">
        <v>20.464284896850586</v>
      </c>
      <c r="F122" s="55">
        <v>20.152414321899414</v>
      </c>
    </row>
    <row r="123" spans="1:15" ht="18" customHeight="1">
      <c r="A123" s="187"/>
      <c r="B123" s="37" t="s">
        <v>190</v>
      </c>
      <c r="C123" s="56">
        <v>318.57144165039063</v>
      </c>
      <c r="D123" s="56">
        <v>429.06666056315106</v>
      </c>
      <c r="E123" s="56">
        <v>382.85714721679688</v>
      </c>
      <c r="F123" s="57">
        <v>391.24139404296875</v>
      </c>
    </row>
    <row r="124" spans="1:15" ht="18" customHeight="1">
      <c r="A124" s="187"/>
      <c r="B124" s="37" t="s">
        <v>191</v>
      </c>
      <c r="C124" s="56">
        <v>102.71428680419922</v>
      </c>
      <c r="D124" s="56">
        <v>131.93333435058594</v>
      </c>
      <c r="E124" s="56">
        <v>115.71428680419922</v>
      </c>
      <c r="F124" s="57">
        <v>120.96551513671875</v>
      </c>
    </row>
    <row r="125" spans="1:15" ht="18" customHeight="1">
      <c r="A125" s="187"/>
      <c r="B125" s="37" t="s">
        <v>192</v>
      </c>
      <c r="C125" s="56">
        <v>264.79409790039063</v>
      </c>
      <c r="D125" s="56">
        <v>327.0589538574219</v>
      </c>
      <c r="E125" s="56">
        <v>306.20562744140625</v>
      </c>
      <c r="F125" s="57">
        <v>306.99594116210938</v>
      </c>
    </row>
    <row r="126" spans="1:15" ht="18" customHeight="1">
      <c r="A126" s="187"/>
      <c r="B126" s="37" t="s">
        <v>193</v>
      </c>
      <c r="C126" s="33">
        <v>170.13641357421875</v>
      </c>
      <c r="D126" s="33">
        <v>199.22058614095053</v>
      </c>
      <c r="E126" s="33">
        <v>130.38447570800781</v>
      </c>
      <c r="F126" s="58">
        <v>175.58465576171875</v>
      </c>
    </row>
    <row r="127" spans="1:15" ht="18" customHeight="1">
      <c r="A127" s="187"/>
      <c r="B127" s="37" t="s">
        <v>200</v>
      </c>
      <c r="C127" s="33">
        <f ca="1">344.560375*OFFSET($L$113,MATCH($N$1,$C$113:$C$114,0)-1,0)</f>
        <v>344.56037500000002</v>
      </c>
      <c r="D127" s="33">
        <f ca="1">375.520152083333*OFFSET($L$113,MATCH($N$1,$C$113:$C$114,0)-1,0)</f>
        <v>375.52015208333302</v>
      </c>
      <c r="E127" s="33">
        <f ca="1">244.965296875*OFFSET($L$113,MATCH($N$1,$C$113:$C$114,0)-1,0)</f>
        <v>244.96529687500001</v>
      </c>
      <c r="F127" s="58">
        <f ca="1">336.533875*OFFSET($L$113,MATCH($N$1,$C$113:$C$114,0)-1,0)</f>
        <v>336.53387500000002</v>
      </c>
    </row>
    <row r="128" spans="1:15" ht="18" customHeight="1">
      <c r="A128" s="187"/>
      <c r="B128" s="37" t="s">
        <v>195</v>
      </c>
      <c r="C128" s="56">
        <v>167.28572082519531</v>
      </c>
      <c r="D128" s="56">
        <v>161.06666768391926</v>
      </c>
      <c r="E128" s="56">
        <v>131.14285278320313</v>
      </c>
      <c r="F128" s="57">
        <v>155.34483337402344</v>
      </c>
    </row>
    <row r="129" spans="1:15" ht="18" customHeight="1">
      <c r="A129" s="187"/>
      <c r="B129" s="37" t="s">
        <v>201</v>
      </c>
      <c r="C129" s="56">
        <v>40</v>
      </c>
      <c r="D129" s="56">
        <v>34.333333333333336</v>
      </c>
      <c r="E129" s="56">
        <v>43.571430206298828</v>
      </c>
      <c r="F129" s="57">
        <v>37.931034088134766</v>
      </c>
    </row>
    <row r="130" spans="1:15" ht="18" customHeight="1">
      <c r="A130" s="187"/>
      <c r="B130" s="37" t="s">
        <v>202</v>
      </c>
      <c r="C130" s="59">
        <v>1.0170408487319946</v>
      </c>
      <c r="D130" s="59">
        <v>1.2368827703811776</v>
      </c>
      <c r="E130" s="59">
        <v>0.9942171573638916</v>
      </c>
      <c r="F130" s="60">
        <v>1.1302896738052368</v>
      </c>
    </row>
    <row r="131" spans="1:15" ht="18" customHeight="1">
      <c r="A131" s="188"/>
      <c r="B131" s="39" t="s">
        <v>203</v>
      </c>
      <c r="C131" s="40">
        <f ca="1">2025.20064788889*OFFSET($L$113,MATCH($N$1,$C$113:$C$114,0)-1,0)</f>
        <v>2025.20064788889</v>
      </c>
      <c r="D131" s="40">
        <f ca="1">1884.94652765277*OFFSET($L$113,MATCH($N$1,$C$113:$C$114,0)-1,0)</f>
        <v>1884.9465276527701</v>
      </c>
      <c r="E131" s="40">
        <f ca="1">1878.79190022279*OFFSET($L$113,MATCH($N$1,$C$113:$C$114,0)-1,0)</f>
        <v>1878.79190022279</v>
      </c>
      <c r="F131" s="61">
        <f ca="1">1917*OFFSET($L$113,MATCH($N$1,$C$113:$C$114,0)-1,0)</f>
        <v>1917</v>
      </c>
    </row>
    <row r="132" spans="1:15" ht="18" customHeight="1">
      <c r="A132" s="198" t="s">
        <v>204</v>
      </c>
      <c r="B132" s="35" t="s">
        <v>205</v>
      </c>
      <c r="C132" s="62">
        <v>3.2215483900291364</v>
      </c>
      <c r="D132" s="62">
        <v>2.8681009452950517</v>
      </c>
      <c r="E132" s="62">
        <v>2.5120313599724069</v>
      </c>
      <c r="F132" s="63">
        <v>2.8688298168371227</v>
      </c>
    </row>
    <row r="133" spans="1:15" ht="18" customHeight="1">
      <c r="A133" s="199"/>
      <c r="B133" s="37" t="s">
        <v>206</v>
      </c>
      <c r="C133" s="59">
        <f ca="1">6.52428188669242*OFFSET($L$113,MATCH($N$1,$C$113:$C$114,0)-1,0)</f>
        <v>6.5242818866924202</v>
      </c>
      <c r="D133" s="59">
        <f ca="1">5.40621691779152*OFFSET($L$113,MATCH($N$1,$C$113:$C$114,0)-1,0)</f>
        <v>5.4062169177915198</v>
      </c>
      <c r="E133" s="59">
        <f ca="1">4.71958417222179*OFFSET($L$113,MATCH($N$1,$C$113:$C$114,0)-1,0)</f>
        <v>4.7195841722217899</v>
      </c>
      <c r="F133" s="60">
        <f ca="1">5.49853522671101*OFFSET($L$113,MATCH($N$1,$C$113:$C$114,0)-1,0)</f>
        <v>5.4985352267110104</v>
      </c>
    </row>
    <row r="134" spans="1:15" ht="18" customHeight="1">
      <c r="A134" s="199"/>
      <c r="B134" s="37" t="s">
        <v>153</v>
      </c>
      <c r="C134" s="59">
        <f ca="1">4.8049207862323*OFFSET($L$113,MATCH($N$1,$C$113:$C$114,0)-1,0)</f>
        <v>4.8049207862322998</v>
      </c>
      <c r="D134" s="59">
        <f ca="1">4.65138898486628*OFFSET($L$113,MATCH($N$1,$C$113:$C$114,0)-1,0)</f>
        <v>4.6513889848662799</v>
      </c>
      <c r="E134" s="59">
        <f ca="1">4.31797382246551*OFFSET($L$113,MATCH($N$1,$C$113:$C$114,0)-1,0)</f>
        <v>4.3179738224655102</v>
      </c>
      <c r="F134" s="60">
        <f ca="1">4.61511645013066*OFFSET($L$113,MATCH($N$1,$C$113:$C$114,0)-1,0)</f>
        <v>4.6151164501306603</v>
      </c>
    </row>
    <row r="135" spans="1:15" ht="18" customHeight="1">
      <c r="A135" s="200"/>
      <c r="B135" s="39" t="s">
        <v>154</v>
      </c>
      <c r="C135" s="64">
        <f ca="1">1.71936110046012*OFFSET($L$113,MATCH($N$1,$C$113:$C$114,0)-1,0)</f>
        <v>1.7193611004601199</v>
      </c>
      <c r="D135" s="64">
        <f ca="1">0.754827932925237*OFFSET($L$113,MATCH($N$1,$C$113:$C$114,0)-1,0)</f>
        <v>0.75482793292523698</v>
      </c>
      <c r="E135" s="64">
        <f ca="1">0.401610349756281*OFFSET($L$113,MATCH($N$1,$C$113:$C$114,0)-1,0)</f>
        <v>0.40161034975628102</v>
      </c>
      <c r="F135" s="65">
        <f ca="1">0.883418776580349*OFFSET($L$113,MATCH($N$1,$C$113:$C$114,0)-1,0)</f>
        <v>0.88341877658034895</v>
      </c>
    </row>
    <row r="136" spans="1:15" ht="18" customHeight="1">
      <c r="A136" s="201" t="s">
        <v>260</v>
      </c>
      <c r="B136" s="37" t="s">
        <v>261</v>
      </c>
      <c r="C136" s="66">
        <f ca="1">57.42152734375*OFFSET($L$113,MATCH($N$1,$C$113:$C$114,0)-1,0)</f>
        <v>57.42152734375</v>
      </c>
      <c r="D136" s="66">
        <f ca="1">63.72420078125*OFFSET($L$113,MATCH($N$1,$C$113:$C$114,0)-1,0)</f>
        <v>63.724200781249998</v>
      </c>
      <c r="E136" s="66">
        <f ca="1">53.76735546875*OFFSET($L$113,MATCH($N$1,$C$113:$C$114,0)-1,0)</f>
        <v>53.767355468749997</v>
      </c>
      <c r="F136" s="67">
        <f ca="1">59.79948828125*OFFSET($L$113,MATCH($N$1,$C$113:$C$114,0)-1,0)</f>
        <v>59.799488281249999</v>
      </c>
    </row>
    <row r="137" spans="1:15" ht="18" customHeight="1">
      <c r="A137" s="202"/>
      <c r="B137" s="37" t="s">
        <v>262</v>
      </c>
      <c r="C137" s="31">
        <v>121978.57243017852</v>
      </c>
      <c r="D137" s="31">
        <v>137353.33532826888</v>
      </c>
      <c r="E137" s="31">
        <v>117085.71410779469</v>
      </c>
      <c r="F137" s="68">
        <v>128750</v>
      </c>
    </row>
    <row r="138" spans="1:15" ht="18" customHeight="1">
      <c r="A138" s="202"/>
      <c r="B138" s="37" t="s">
        <v>263</v>
      </c>
      <c r="C138" s="31">
        <v>729.1630859375</v>
      </c>
      <c r="D138" s="31">
        <v>852.77318580784231</v>
      </c>
      <c r="E138" s="31">
        <v>892.81048583984375</v>
      </c>
      <c r="F138" s="68">
        <v>828.80133056640625</v>
      </c>
    </row>
    <row r="139" spans="1:15" ht="18" customHeight="1">
      <c r="A139" s="202"/>
      <c r="B139" s="37" t="s">
        <v>264</v>
      </c>
      <c r="C139" s="31">
        <f ca="1">343.254206399077*OFFSET($L$113,MATCH($N$1,$C$113:$C$114,0)-1,0)</f>
        <v>343.25420639907702</v>
      </c>
      <c r="D139" s="31">
        <f ca="1">395.638661292129*OFFSET($L$113,MATCH($N$1,$C$113:$C$114,0)-1,0)</f>
        <v>395.63866129212897</v>
      </c>
      <c r="E139" s="31">
        <f ca="1">409.990741604765*OFFSET($L$113,MATCH($N$1,$C$113:$C$114,0)-1,0)</f>
        <v>409.99074160476499</v>
      </c>
      <c r="F139" s="68">
        <f ca="1">384.946747068639*OFFSET($L$113,MATCH($N$1,$C$113:$C$114,0)-1,0)</f>
        <v>384.94674706863901</v>
      </c>
      <c r="I139" s="43"/>
      <c r="L139" s="69" t="str">
        <f>C120</f>
        <v>Most
profitable
quartile</v>
      </c>
      <c r="M139" s="69" t="str">
        <f>D120</f>
        <v>Middle
two quartiles</v>
      </c>
      <c r="N139" s="69" t="str">
        <f>E120</f>
        <v>Least
profitable
quartile</v>
      </c>
      <c r="O139" s="69"/>
    </row>
    <row r="140" spans="1:15" ht="18" customHeight="1">
      <c r="A140" s="202"/>
      <c r="B140" s="37" t="s">
        <v>265</v>
      </c>
      <c r="C140" s="31">
        <f ca="1">337.502866890402*OFFSET($L$113,MATCH($N$1,$C$113:$C$114,0)-1,0)</f>
        <v>337.502866890402</v>
      </c>
      <c r="D140" s="31">
        <f ca="1">319.867549913564*OFFSET($L$113,MATCH($N$1,$C$113:$C$114,0)-1,0)</f>
        <v>319.86754991356401</v>
      </c>
      <c r="E140" s="31">
        <f ca="1">412.375439459222*OFFSET($L$113,MATCH($N$1,$C$113:$C$114,0)-1,0)</f>
        <v>412.37543945922198</v>
      </c>
      <c r="F140" s="68">
        <f ca="1">340.573542840795*OFFSET($L$113,MATCH($N$1,$C$113:$C$114,0)-1,0)</f>
        <v>340.57354284079503</v>
      </c>
      <c r="I140" s="43"/>
      <c r="K140" s="69" t="s">
        <v>266</v>
      </c>
      <c r="L140" s="70">
        <f t="shared" ref="L140:M142" ca="1" si="2">C141</f>
        <v>394.02165624999998</v>
      </c>
      <c r="M140" s="70">
        <f t="shared" ca="1" si="2"/>
        <v>384.03801249999998</v>
      </c>
      <c r="N140" s="70">
        <f ca="1">E141</f>
        <v>249.36215625</v>
      </c>
      <c r="O140" s="70"/>
    </row>
    <row r="141" spans="1:15" ht="18" customHeight="1">
      <c r="A141" s="179" t="s">
        <v>267</v>
      </c>
      <c r="B141" s="35" t="s">
        <v>268</v>
      </c>
      <c r="C141" s="71">
        <f ca="1">394.02165625*OFFSET($L$113,MATCH($N$1,$C$113:$C$114,0)-1,0)</f>
        <v>394.02165624999998</v>
      </c>
      <c r="D141" s="71">
        <f ca="1">384.0380125*OFFSET($L$113,MATCH($N$1,$C$113:$C$114,0)-1,0)</f>
        <v>384.03801249999998</v>
      </c>
      <c r="E141" s="71">
        <f ca="1">249.36215625*OFFSET($L$113,MATCH($N$1,$C$113:$C$114,0)-1,0)</f>
        <v>249.36215625</v>
      </c>
      <c r="F141" s="72">
        <f ca="1">353.93990625*OFFSET($L$113,MATCH($N$1,$C$113:$C$114,0)-1,0)</f>
        <v>353.93990624999998</v>
      </c>
      <c r="I141" s="43"/>
      <c r="K141" s="69" t="s">
        <v>269</v>
      </c>
      <c r="L141" s="70">
        <f t="shared" ca="1" si="2"/>
        <v>303.21875</v>
      </c>
      <c r="M141" s="70">
        <f t="shared" ca="1" si="2"/>
        <v>331.60706041666703</v>
      </c>
      <c r="N141" s="70">
        <f ca="1">E142</f>
        <v>228.51696874999999</v>
      </c>
      <c r="O141" s="70"/>
    </row>
    <row r="142" spans="1:15" ht="18" customHeight="1">
      <c r="A142" s="180"/>
      <c r="B142" s="37" t="s">
        <v>270</v>
      </c>
      <c r="C142" s="31">
        <f ca="1">303.21875*OFFSET($L$113,MATCH($N$1,$C$113:$C$114,0)-1,0)</f>
        <v>303.21875</v>
      </c>
      <c r="D142" s="31">
        <f ca="1">331.607060416667*OFFSET($L$113,MATCH($N$1,$C$113:$C$114,0)-1,0)</f>
        <v>331.60706041666703</v>
      </c>
      <c r="E142" s="31">
        <f ca="1">228.51696875*OFFSET($L$113,MATCH($N$1,$C$113:$C$114,0)-1,0)</f>
        <v>228.51696874999999</v>
      </c>
      <c r="F142" s="68">
        <f ca="1">299.87090625*OFFSET($L$113,MATCH($N$1,$C$113:$C$114,0)-1,0)</f>
        <v>299.87090625000002</v>
      </c>
      <c r="I142" s="43"/>
      <c r="K142" s="69" t="s">
        <v>271</v>
      </c>
      <c r="L142" s="70">
        <f t="shared" ca="1" si="2"/>
        <v>90.802906250000007</v>
      </c>
      <c r="M142" s="70">
        <f t="shared" ca="1" si="2"/>
        <v>52.430952083333302</v>
      </c>
      <c r="N142" s="70">
        <f ca="1">E143</f>
        <v>20.845187500000002</v>
      </c>
      <c r="O142" s="70"/>
    </row>
    <row r="143" spans="1:15" ht="18" customHeight="1">
      <c r="A143" s="181"/>
      <c r="B143" s="39" t="s">
        <v>272</v>
      </c>
      <c r="C143" s="40">
        <f ca="1">90.80290625*OFFSET($L$113,MATCH($N$1,$C$113:$C$114,0)-1,0)</f>
        <v>90.802906250000007</v>
      </c>
      <c r="D143" s="40">
        <f ca="1">52.4309520833333*OFFSET($L$113,MATCH($N$1,$C$113:$C$114,0)-1,0)</f>
        <v>52.430952083333302</v>
      </c>
      <c r="E143" s="40">
        <f ca="1">20.8451875*OFFSET($L$113,MATCH($N$1,$C$113:$C$114,0)-1,0)</f>
        <v>20.845187500000002</v>
      </c>
      <c r="F143" s="61">
        <f ca="1">54.0690078125*OFFSET($L$113,MATCH($N$1,$C$113:$C$114,0)-1,0)</f>
        <v>54.069007812499997</v>
      </c>
      <c r="I143" s="43"/>
      <c r="K143" s="69" t="s">
        <v>273</v>
      </c>
      <c r="L143" s="73">
        <f ca="1">IFERROR(L141/L$140,"")</f>
        <v>0.76954843773260251</v>
      </c>
      <c r="M143" s="73">
        <f t="shared" ref="M143:N144" ca="1" si="3">IFERROR(M141/M$140,"")</f>
        <v>0.86347457705548625</v>
      </c>
      <c r="N143" s="73">
        <f t="shared" ca="1" si="3"/>
        <v>0.91640597028242932</v>
      </c>
      <c r="O143" s="73"/>
    </row>
    <row r="144" spans="1:15" ht="18" customHeight="1">
      <c r="I144" s="43"/>
      <c r="K144" s="69" t="s">
        <v>274</v>
      </c>
      <c r="L144" s="73">
        <f ca="1">IFERROR(L142/L$140,"")</f>
        <v>0.2304515622673976</v>
      </c>
      <c r="M144" s="73">
        <f t="shared" ca="1" si="3"/>
        <v>0.13652542294451464</v>
      </c>
      <c r="N144" s="73">
        <f t="shared" ca="1" si="3"/>
        <v>8.359402971757067E-2</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7</v>
      </c>
      <c r="B162" s="48"/>
      <c r="C162" s="74" t="s">
        <v>255</v>
      </c>
      <c r="D162" s="74" t="s">
        <v>276</v>
      </c>
      <c r="E162" s="74" t="s">
        <v>257</v>
      </c>
      <c r="F162" s="74" t="s">
        <v>277</v>
      </c>
      <c r="G162" s="75">
        <v>10</v>
      </c>
      <c r="H162" s="74"/>
      <c r="I162" s="74" t="s">
        <v>255</v>
      </c>
      <c r="J162" s="74" t="s">
        <v>276</v>
      </c>
      <c r="K162" s="74" t="s">
        <v>257</v>
      </c>
      <c r="L162" s="48" t="s">
        <v>277</v>
      </c>
      <c r="R162" s="21"/>
      <c r="S162" s="21"/>
    </row>
    <row r="163" spans="1:19" s="43" customFormat="1">
      <c r="A163" s="44">
        <v>1</v>
      </c>
      <c r="B163" s="48" t="s">
        <v>159</v>
      </c>
      <c r="C163" s="48">
        <v>0.87074856846374782</v>
      </c>
      <c r="D163" s="48">
        <v>0.84673502748054996</v>
      </c>
      <c r="E163" s="48">
        <v>0.84931488436111491</v>
      </c>
      <c r="F163" s="44">
        <v>12153634</v>
      </c>
      <c r="G163" s="44">
        <v>1</v>
      </c>
      <c r="H163" s="48" t="s">
        <v>159</v>
      </c>
      <c r="I163" s="48">
        <v>0.93064577638006685</v>
      </c>
      <c r="J163" s="48">
        <v>0.92267955114066014</v>
      </c>
      <c r="K163" s="48">
        <v>0.9245588926785554</v>
      </c>
      <c r="L163" s="44">
        <v>12153634</v>
      </c>
      <c r="R163" s="21"/>
      <c r="S163" s="21"/>
    </row>
    <row r="164" spans="1:19" s="43" customFormat="1">
      <c r="A164" s="44">
        <v>2</v>
      </c>
      <c r="B164" s="48" t="s">
        <v>293</v>
      </c>
      <c r="C164" s="48">
        <v>4.85292961154749E-2</v>
      </c>
      <c r="D164" s="48">
        <v>9.6530627172228989E-2</v>
      </c>
      <c r="E164" s="48">
        <v>7.4419690689839613E-2</v>
      </c>
      <c r="F164" s="44">
        <v>3050596</v>
      </c>
      <c r="G164" s="44">
        <v>2</v>
      </c>
      <c r="H164" s="48" t="s">
        <v>161</v>
      </c>
      <c r="I164" s="48">
        <v>2.2619216051641283E-2</v>
      </c>
      <c r="J164" s="48">
        <v>2.7834779363899571E-2</v>
      </c>
      <c r="K164" s="48">
        <v>2.2915311519573184E-2</v>
      </c>
      <c r="L164" s="44">
        <v>553960</v>
      </c>
      <c r="N164" s="43" t="s">
        <v>278</v>
      </c>
      <c r="R164" s="21"/>
      <c r="S164" s="21"/>
    </row>
    <row r="165" spans="1:19" s="43" customFormat="1">
      <c r="A165" s="44">
        <v>3</v>
      </c>
      <c r="B165" s="48" t="s">
        <v>161</v>
      </c>
      <c r="C165" s="48">
        <v>2.3568567526917474E-2</v>
      </c>
      <c r="D165" s="48">
        <v>2.3664744012394625E-2</v>
      </c>
      <c r="E165" s="48">
        <v>2.0495759146299464E-2</v>
      </c>
      <c r="F165" s="44">
        <v>553960</v>
      </c>
      <c r="G165" s="44">
        <v>3</v>
      </c>
      <c r="H165" s="48" t="s">
        <v>293</v>
      </c>
      <c r="I165" s="48">
        <v>6.707894663602605E-3</v>
      </c>
      <c r="J165" s="48">
        <v>1.1914152769710706E-2</v>
      </c>
      <c r="K165" s="48">
        <v>8.592880030996751E-3</v>
      </c>
      <c r="L165" s="44">
        <v>3050596</v>
      </c>
      <c r="N165" s="43" t="s">
        <v>279</v>
      </c>
      <c r="R165" s="21"/>
      <c r="S165" s="21"/>
    </row>
    <row r="166" spans="1:19" s="43" customFormat="1">
      <c r="A166" s="44">
        <v>4</v>
      </c>
      <c r="B166" s="48" t="s">
        <v>156</v>
      </c>
      <c r="C166" s="48">
        <v>1.3741494664166812E-2</v>
      </c>
      <c r="D166" s="48">
        <v>1.1906644543797763E-2</v>
      </c>
      <c r="E166" s="48">
        <v>2.6360173454649583E-2</v>
      </c>
      <c r="F166" s="44">
        <v>3689192</v>
      </c>
      <c r="G166" s="44">
        <v>4</v>
      </c>
      <c r="H166" s="48" t="s">
        <v>175</v>
      </c>
      <c r="I166" s="48">
        <v>0</v>
      </c>
      <c r="J166" s="48">
        <v>9.7100996275620403E-3</v>
      </c>
      <c r="K166" s="48">
        <v>0</v>
      </c>
      <c r="L166" s="44">
        <v>1692097</v>
      </c>
      <c r="R166" s="21"/>
      <c r="S166" s="21"/>
    </row>
    <row r="167" spans="1:19" s="43" customFormat="1">
      <c r="A167" s="44">
        <v>5</v>
      </c>
      <c r="B167" s="48" t="s">
        <v>250</v>
      </c>
      <c r="C167" s="48">
        <v>2.5365361281354349E-2</v>
      </c>
      <c r="D167" s="48">
        <v>5.4739196066978853E-3</v>
      </c>
      <c r="E167" s="48">
        <v>8.9215271369965116E-3</v>
      </c>
      <c r="F167" s="44">
        <v>11115023</v>
      </c>
      <c r="G167" s="44">
        <v>5</v>
      </c>
      <c r="H167" s="48" t="s">
        <v>156</v>
      </c>
      <c r="I167" s="48">
        <v>0</v>
      </c>
      <c r="J167" s="48">
        <v>7.2730215788528712E-3</v>
      </c>
      <c r="K167" s="48">
        <v>1.2199828614669977E-2</v>
      </c>
      <c r="L167" s="44">
        <v>3689192</v>
      </c>
      <c r="R167" s="21"/>
      <c r="S167" s="21"/>
    </row>
    <row r="168" spans="1:19" s="43" customFormat="1">
      <c r="A168" s="44">
        <v>6</v>
      </c>
      <c r="B168" s="48" t="s">
        <v>251</v>
      </c>
      <c r="C168" s="48">
        <v>1.8046711948338623E-2</v>
      </c>
      <c r="D168" s="48">
        <v>1.5689037184330901E-2</v>
      </c>
      <c r="E168" s="48">
        <v>2.0487965211099968E-2</v>
      </c>
      <c r="F168" s="44">
        <v>5920853</v>
      </c>
      <c r="G168" s="44">
        <v>6</v>
      </c>
      <c r="H168" s="48" t="s">
        <v>168</v>
      </c>
      <c r="I168" s="48">
        <v>0</v>
      </c>
      <c r="J168" s="48">
        <v>0</v>
      </c>
      <c r="K168" s="48">
        <v>6.8963028213386837E-3</v>
      </c>
      <c r="L168" s="44">
        <v>2480382</v>
      </c>
      <c r="R168" s="21"/>
      <c r="S168" s="21"/>
    </row>
    <row r="169" spans="1:19" s="43" customFormat="1">
      <c r="A169" s="44">
        <v>7</v>
      </c>
      <c r="B169" s="48"/>
      <c r="C169" s="48">
        <v>0</v>
      </c>
      <c r="D169" s="48">
        <v>0</v>
      </c>
      <c r="E169" s="48">
        <v>0</v>
      </c>
      <c r="F169" s="44"/>
      <c r="G169" s="44">
        <v>7</v>
      </c>
      <c r="H169" s="48" t="s">
        <v>250</v>
      </c>
      <c r="I169" s="48">
        <v>8.8992088667746438E-3</v>
      </c>
      <c r="J169" s="48">
        <v>0</v>
      </c>
      <c r="K169" s="48">
        <v>0</v>
      </c>
      <c r="L169" s="44">
        <v>11115023</v>
      </c>
      <c r="R169" s="21"/>
      <c r="S169" s="21"/>
    </row>
    <row r="170" spans="1:19" s="43" customFormat="1">
      <c r="A170" s="44">
        <v>8</v>
      </c>
      <c r="B170" s="48"/>
      <c r="C170" s="48">
        <v>0</v>
      </c>
      <c r="D170" s="48">
        <v>0</v>
      </c>
      <c r="E170" s="48">
        <v>0</v>
      </c>
      <c r="F170" s="44"/>
      <c r="G170" s="44">
        <v>8</v>
      </c>
      <c r="H170" s="48" t="s">
        <v>295</v>
      </c>
      <c r="I170" s="48">
        <v>6.7879883858907343E-3</v>
      </c>
      <c r="J170" s="48">
        <v>0</v>
      </c>
      <c r="K170" s="48">
        <v>0</v>
      </c>
      <c r="L170" s="44">
        <v>7434864</v>
      </c>
      <c r="R170" s="21"/>
      <c r="S170" s="21"/>
    </row>
    <row r="171" spans="1:19" s="43" customFormat="1">
      <c r="A171" s="44">
        <v>9</v>
      </c>
      <c r="B171" s="48"/>
      <c r="C171" s="48">
        <v>0</v>
      </c>
      <c r="D171" s="48">
        <v>0</v>
      </c>
      <c r="E171" s="48">
        <v>0</v>
      </c>
      <c r="F171" s="44"/>
      <c r="G171" s="44">
        <v>9</v>
      </c>
      <c r="H171" s="48" t="s">
        <v>251</v>
      </c>
      <c r="I171" s="48">
        <v>2.4339915652023869E-2</v>
      </c>
      <c r="J171" s="48">
        <v>2.0588395519314573E-2</v>
      </c>
      <c r="K171" s="48">
        <v>2.4836784334866024E-2</v>
      </c>
      <c r="L171" s="44">
        <v>5920853</v>
      </c>
      <c r="R171" s="21"/>
      <c r="S171" s="21"/>
    </row>
    <row r="172" spans="1:19" s="43" customFormat="1">
      <c r="A172" s="44">
        <v>10</v>
      </c>
      <c r="B172" s="48"/>
      <c r="C172" s="48">
        <v>0</v>
      </c>
      <c r="D172" s="48">
        <v>0</v>
      </c>
      <c r="E172" s="48">
        <v>0</v>
      </c>
      <c r="F172" s="44"/>
      <c r="G172" s="44">
        <v>10</v>
      </c>
      <c r="H172" s="48"/>
      <c r="I172" s="48">
        <v>0</v>
      </c>
      <c r="J172" s="48">
        <v>0</v>
      </c>
      <c r="K172" s="48">
        <v>0</v>
      </c>
      <c r="L172" s="44"/>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3C5EFA9F-4C52-44F7-83ED-5397488FF5AB}">
      <formula1>$C$113:$C$114</formula1>
    </dataValidation>
  </dataValidations>
  <hyperlinks>
    <hyperlink ref="O1:P1" location="Home_page" display="Back to home page" xr:uid="{1AA033F5-795B-44C3-907F-5211E61194D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2159FA50-D303-47B9-A16C-60E6EE4780CE}">
          <x14:colorSeries rgb="FF323232"/>
          <x14:colorNegative rgb="FFD00000"/>
          <x14:colorAxis rgb="FF000000"/>
          <x14:colorMarkers rgb="FFD00000"/>
          <x14:colorFirst rgb="FFD00000"/>
          <x14:colorLast rgb="FFD00000"/>
          <x14:colorHigh rgb="FFD00000"/>
          <x14:colorLow rgb="FFD00000"/>
          <x14:sparklines>
            <x14:sparkline>
              <xm:f>'Area VIIa nephrops o250kW'!D3:N3</xm:f>
              <xm:sqref>C3</xm:sqref>
            </x14:sparkline>
            <x14:sparkline>
              <xm:f>'Area VIIa nephrops o250kW'!D4:N4</xm:f>
              <xm:sqref>C4</xm:sqref>
            </x14:sparkline>
            <x14:sparkline>
              <xm:f>'Area VIIa nephrops o250kW'!D5:N5</xm:f>
              <xm:sqref>C5</xm:sqref>
            </x14:sparkline>
            <x14:sparkline>
              <xm:f>'Area VIIa nephrops o250kW'!D6:N6</xm:f>
              <xm:sqref>C6</xm:sqref>
            </x14:sparkline>
            <x14:sparkline>
              <xm:f>'Area VIIa nephrops o250kW'!D7:N7</xm:f>
              <xm:sqref>C7</xm:sqref>
            </x14:sparkline>
            <x14:sparkline>
              <xm:f>'Area VIIa nephrops o250kW'!D8:N8</xm:f>
              <xm:sqref>C8</xm:sqref>
            </x14:sparkline>
            <x14:sparkline>
              <xm:f>'Area VIIa nephrops o250kW'!D9:N9</xm:f>
              <xm:sqref>C9</xm:sqref>
            </x14:sparkline>
            <x14:sparkline>
              <xm:f>'Area VIIa nephrops o250kW'!D10:N10</xm:f>
              <xm:sqref>C10</xm:sqref>
            </x14:sparkline>
            <x14:sparkline>
              <xm:f>'Area VIIa nephrops o250kW'!D11:N11</xm:f>
              <xm:sqref>C11</xm:sqref>
            </x14:sparkline>
            <x14:sparkline>
              <xm:f>'Area VIIa nephrops o250kW'!D12:N12</xm:f>
              <xm:sqref>C12</xm:sqref>
            </x14:sparkline>
            <x14:sparkline>
              <xm:f>'Area VIIa nephrops o250kW'!D13:N13</xm:f>
              <xm:sqref>C13</xm:sqref>
            </x14:sparkline>
            <x14:sparkline>
              <xm:f>'Area VIIa nephrops o250kW'!D14:N14</xm:f>
              <xm:sqref>C14</xm:sqref>
            </x14:sparkline>
            <x14:sparkline>
              <xm:f>'Area VIIa nephrops o250kW'!D15:N15</xm:f>
              <xm:sqref>C15</xm:sqref>
            </x14:sparkline>
            <x14:sparkline>
              <xm:f>'Area VIIa nephrops o250kW'!D16:N16</xm:f>
              <xm:sqref>C16</xm:sqref>
            </x14:sparkline>
            <x14:sparkline>
              <xm:f>'Area VIIa nephrops o250kW'!D17:N17</xm:f>
              <xm:sqref>C17</xm:sqref>
            </x14:sparkline>
            <x14:sparkline>
              <xm:f>'Area VIIa nephrops o250kW'!D18:N18</xm:f>
              <xm:sqref>C18</xm:sqref>
            </x14:sparkline>
            <x14:sparkline>
              <xm:f>'Area VIIa nephrops o250kW'!D19:N19</xm:f>
              <xm:sqref>C19</xm:sqref>
            </x14:sparkline>
            <x14:sparkline>
              <xm:f>'Area VIIa nephrops o250kW'!D20:N20</xm:f>
              <xm:sqref>C20</xm:sqref>
            </x14:sparkline>
            <x14:sparkline>
              <xm:f>'Area VIIa nephrops o250kW'!D21:N21</xm:f>
              <xm:sqref>C21</xm:sqref>
            </x14:sparkline>
            <x14:sparkline>
              <xm:f>'Area VIIa nephrops o250kW'!D22:N22</xm:f>
              <xm:sqref>C22</xm:sqref>
            </x14:sparkline>
            <x14:sparkline>
              <xm:f>'Area VIIa nephrops o250kW'!D23:N23</xm:f>
              <xm:sqref>C23</xm:sqref>
            </x14:sparkline>
            <x14:sparkline>
              <xm:f>'Area VIIa nephrops o250kW'!D24:N24</xm:f>
              <xm:sqref>C24</xm:sqref>
            </x14:sparkline>
            <x14:sparkline>
              <xm:f>'Area VIIa nephrops o250kW'!D25:N25</xm:f>
              <xm:sqref>C25</xm:sqref>
            </x14:sparkline>
            <x14:sparkline>
              <xm:f>'Area VIIa nephrops o250kW'!D26:N26</xm:f>
              <xm:sqref>C26</xm:sqref>
            </x14:sparkline>
            <x14:sparkline>
              <xm:f>'Area VIIa nephrops o250kW'!D27:N27</xm:f>
              <xm:sqref>C27</xm:sqref>
            </x14:sparkline>
            <x14:sparkline>
              <xm:f>'Area VIIa nephrops o250kW'!D28:N28</xm:f>
              <xm:sqref>C28</xm:sqref>
            </x14:sparkline>
            <x14:sparkline>
              <xm:f>'Area VIIa nephrops o250kW'!D29:N29</xm:f>
              <xm:sqref>C29</xm:sqref>
            </x14:sparkline>
            <x14:sparkline>
              <xm:f>'Area VIIa nephrops o250kW'!D30:N30</xm:f>
              <xm:sqref>C30</xm:sqref>
            </x14:sparkline>
            <x14:sparkline>
              <xm:f>'Area VIIa nephrops o250kW'!D31:N31</xm:f>
              <xm:sqref>C31</xm:sqref>
            </x14:sparkline>
            <x14:sparkline>
              <xm:f>'Area VIIa nephrops o250kW'!D32:N32</xm:f>
              <xm:sqref>C32</xm:sqref>
            </x14:sparkline>
            <x14:sparkline>
              <xm:f>'Area VIIa nephrops o250kW'!D33:N33</xm:f>
              <xm:sqref>C33</xm:sqref>
            </x14:sparkline>
            <x14:sparkline>
              <xm:f>'Area VIIa nephrops o250kW'!D34:N34</xm:f>
              <xm:sqref>C34</xm:sqref>
            </x14:sparkline>
            <x14:sparkline>
              <xm:f>'Area VIIa nephrops o250kW'!D35:N35</xm:f>
              <xm:sqref>C35</xm:sqref>
            </x14:sparkline>
            <x14:sparkline>
              <xm:f>'Area VIIa nephrops o250kW'!D36:N36</xm:f>
              <xm:sqref>C36</xm:sqref>
            </x14:sparkline>
            <x14:sparkline>
              <xm:f>'Area VIIa nephrops o250kW'!D37:N37</xm:f>
              <xm:sqref>C37</xm:sqref>
            </x14:sparkline>
            <x14:sparkline>
              <xm:f>'Area VIIa nephrops o250kW'!D38:N38</xm:f>
              <xm:sqref>C38</xm:sqref>
            </x14:sparkline>
            <x14:sparkline>
              <xm:f>'Area VIIa nephrops o250kW'!D39:N39</xm:f>
              <xm:sqref>C39</xm:sqref>
            </x14:sparkline>
            <x14:sparkline>
              <xm:f>'Area VIIa nephrops o250kW'!D40:N40</xm:f>
              <xm:sqref>C40</xm:sqref>
            </x14:sparkline>
            <x14:sparkline>
              <xm:f>'Area VIIa nephrops o250kW'!D41:N41</xm:f>
              <xm:sqref>C41</xm:sqref>
            </x14:sparkline>
            <x14:sparkline>
              <xm:f>'Area VIIa nephrops o250kW'!D42:N42</xm:f>
              <xm:sqref>C42</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942D7-F526-4F31-B4B8-9738765E825A}">
  <sheetPr codeName="Feuil8">
    <pageSetUpPr fitToPage="1"/>
  </sheetPr>
  <dimension ref="A1:S193"/>
  <sheetViews>
    <sheetView zoomScale="70" zoomScaleNormal="70" zoomScalePageLayoutView="87" workbookViewId="0"/>
  </sheetViews>
  <sheetFormatPr defaultColWidth="9" defaultRowHeight="14.45"/>
  <cols>
    <col min="1" max="1" width="6" style="21" customWidth="1"/>
    <col min="2" max="2" width="30.125" style="21" customWidth="1"/>
    <col min="3" max="3" width="9.125" style="21" customWidth="1"/>
    <col min="4" max="16" width="10.125" style="21" customWidth="1"/>
    <col min="17" max="16384" width="9" style="21"/>
  </cols>
  <sheetData>
    <row r="1" spans="1:17" s="78" customFormat="1" ht="34.5" customHeight="1" thickBot="1">
      <c r="A1" s="76" t="s">
        <v>12</v>
      </c>
      <c r="B1" s="77"/>
      <c r="K1" s="79"/>
      <c r="L1" s="80"/>
      <c r="M1" s="80" t="s">
        <v>183</v>
      </c>
      <c r="N1" s="81" t="s">
        <v>184</v>
      </c>
      <c r="O1" s="182" t="s">
        <v>185</v>
      </c>
      <c r="P1" s="183"/>
    </row>
    <row r="2" spans="1:17" s="26" customFormat="1" ht="26.45" thickBot="1">
      <c r="A2" s="22"/>
      <c r="B2" s="23" t="s">
        <v>186</v>
      </c>
      <c r="C2" s="24" t="s">
        <v>187</v>
      </c>
      <c r="D2" s="25">
        <v>2012</v>
      </c>
      <c r="E2" s="25">
        <v>2013</v>
      </c>
      <c r="F2" s="25">
        <v>2014</v>
      </c>
      <c r="G2" s="25">
        <v>2015</v>
      </c>
      <c r="H2" s="25">
        <v>2016</v>
      </c>
      <c r="I2" s="25">
        <v>2017</v>
      </c>
      <c r="J2" s="25">
        <v>2018</v>
      </c>
      <c r="K2" s="25">
        <v>2019</v>
      </c>
      <c r="L2" s="25">
        <v>2020</v>
      </c>
      <c r="M2" s="25">
        <v>2021</v>
      </c>
      <c r="N2" s="25">
        <v>2022</v>
      </c>
      <c r="O2" s="24" t="str">
        <f>"%∆
"&amp;D2&amp;"-"&amp;N2</f>
        <v>%∆
2012-2022</v>
      </c>
      <c r="P2" s="24" t="str">
        <f>"%∆
"&amp;J2&amp;"-"&amp;N2</f>
        <v>%∆
2018-2022</v>
      </c>
    </row>
    <row r="3" spans="1:17" ht="18" customHeight="1">
      <c r="A3" s="184" t="s">
        <v>188</v>
      </c>
      <c r="B3" s="27" t="s">
        <v>189</v>
      </c>
      <c r="C3" s="28"/>
      <c r="D3" s="28">
        <v>63</v>
      </c>
      <c r="E3" s="28">
        <v>57</v>
      </c>
      <c r="F3" s="28">
        <v>46</v>
      </c>
      <c r="G3" s="28">
        <v>41</v>
      </c>
      <c r="H3" s="28">
        <v>42</v>
      </c>
      <c r="I3" s="28">
        <v>37</v>
      </c>
      <c r="J3" s="28">
        <v>33</v>
      </c>
      <c r="K3" s="28">
        <v>36</v>
      </c>
      <c r="L3" s="28">
        <v>31</v>
      </c>
      <c r="M3" s="28">
        <v>30</v>
      </c>
      <c r="N3" s="28">
        <v>27</v>
      </c>
      <c r="O3" s="29">
        <f t="shared" ref="O3:O42" si="0">IF(N3=0,"",IFERROR(IF(AND(N3&gt;0,D3&lt;0),"na",IF(AND(N3&lt;0,D3&lt;0),-1,1)*(N3-D3)/D3),""))</f>
        <v>-0.5714285714285714</v>
      </c>
      <c r="P3" s="29">
        <f t="shared" ref="P3:P42" si="1">IF(N3=0,"",IFERROR(IF(AND(N3&gt;0,J3&lt;0),"na",IF(AND(N3&lt;0,J3&lt;0),-1,1)*(N3-J3)/J3),""))</f>
        <v>-0.18181818181818182</v>
      </c>
    </row>
    <row r="4" spans="1:17" ht="18" customHeight="1">
      <c r="A4" s="185"/>
      <c r="B4" s="30" t="s">
        <v>190</v>
      </c>
      <c r="C4" s="31"/>
      <c r="D4" s="31">
        <v>10721</v>
      </c>
      <c r="E4" s="31">
        <v>9619</v>
      </c>
      <c r="F4" s="31">
        <v>7890</v>
      </c>
      <c r="G4" s="31">
        <v>6935</v>
      </c>
      <c r="H4" s="31">
        <v>6962</v>
      </c>
      <c r="I4" s="31">
        <v>6417</v>
      </c>
      <c r="J4" s="31">
        <v>6098</v>
      </c>
      <c r="K4" s="31">
        <v>6537</v>
      </c>
      <c r="L4" s="31">
        <v>5368</v>
      </c>
      <c r="M4" s="31">
        <v>5205</v>
      </c>
      <c r="N4" s="31">
        <v>4723</v>
      </c>
      <c r="O4" s="29">
        <f t="shared" si="0"/>
        <v>-0.55946273668501068</v>
      </c>
      <c r="P4" s="29">
        <f t="shared" si="1"/>
        <v>-0.22548376516890783</v>
      </c>
    </row>
    <row r="5" spans="1:17" ht="18" customHeight="1">
      <c r="A5" s="185"/>
      <c r="B5" s="30" t="s">
        <v>191</v>
      </c>
      <c r="C5" s="31"/>
      <c r="D5" s="31">
        <v>2646</v>
      </c>
      <c r="E5" s="31">
        <v>2364</v>
      </c>
      <c r="F5" s="31">
        <v>1966</v>
      </c>
      <c r="G5" s="31">
        <v>1863</v>
      </c>
      <c r="H5" s="31">
        <v>1805</v>
      </c>
      <c r="I5" s="31">
        <v>1695</v>
      </c>
      <c r="J5" s="31">
        <v>1617</v>
      </c>
      <c r="K5" s="31">
        <v>1543</v>
      </c>
      <c r="L5" s="31">
        <v>1349</v>
      </c>
      <c r="M5" s="31">
        <v>1225</v>
      </c>
      <c r="N5" s="31">
        <v>1065</v>
      </c>
      <c r="O5" s="29">
        <f t="shared" si="0"/>
        <v>-0.5975056689342404</v>
      </c>
      <c r="P5" s="29">
        <f t="shared" si="1"/>
        <v>-0.34137291280148424</v>
      </c>
      <c r="Q5" s="32"/>
    </row>
    <row r="6" spans="1:17" ht="18" customHeight="1">
      <c r="A6" s="185"/>
      <c r="B6" s="30" t="s">
        <v>192</v>
      </c>
      <c r="C6" s="31"/>
      <c r="D6" s="31">
        <v>9909.1318359375</v>
      </c>
      <c r="E6" s="31">
        <v>8958.6923828125</v>
      </c>
      <c r="F6" s="31">
        <v>7242.65087890625</v>
      </c>
      <c r="G6" s="31">
        <v>6552.38818359375</v>
      </c>
      <c r="H6" s="31">
        <v>6541.9892578125</v>
      </c>
      <c r="I6" s="31">
        <v>5945.16943359375</v>
      </c>
      <c r="J6" s="31">
        <v>5644.48193359375</v>
      </c>
      <c r="K6" s="31">
        <v>5718.52734375</v>
      </c>
      <c r="L6" s="31">
        <v>4924.43359375</v>
      </c>
      <c r="M6" s="31">
        <v>4618.24365234375</v>
      </c>
      <c r="N6" s="31">
        <v>4202.44287109375</v>
      </c>
      <c r="O6" s="29">
        <f t="shared" si="0"/>
        <v>-0.5759020123384847</v>
      </c>
      <c r="P6" s="29">
        <f t="shared" si="1"/>
        <v>-0.25547766464049554</v>
      </c>
    </row>
    <row r="7" spans="1:17" ht="18" customHeight="1">
      <c r="A7" s="185"/>
      <c r="B7" s="30" t="s">
        <v>193</v>
      </c>
      <c r="C7" s="31"/>
      <c r="D7" s="31">
        <v>4814.935546875</v>
      </c>
      <c r="E7" s="31">
        <v>3903.337158203125</v>
      </c>
      <c r="F7" s="31">
        <v>2854.451416015625</v>
      </c>
      <c r="G7" s="31">
        <v>3081.633544921875</v>
      </c>
      <c r="H7" s="31">
        <v>3236.702880859375</v>
      </c>
      <c r="I7" s="31">
        <v>2752.53515625</v>
      </c>
      <c r="J7" s="31">
        <v>2637.184326171875</v>
      </c>
      <c r="K7" s="31">
        <v>2831.24755859375</v>
      </c>
      <c r="L7" s="31">
        <v>2252.161865234375</v>
      </c>
      <c r="M7" s="31">
        <v>2353.606201171875</v>
      </c>
      <c r="N7" s="31">
        <v>2295.609130859375</v>
      </c>
      <c r="O7" s="29">
        <f t="shared" si="0"/>
        <v>-0.52323159707729083</v>
      </c>
      <c r="P7" s="29">
        <f t="shared" si="1"/>
        <v>-0.12952268520734347</v>
      </c>
    </row>
    <row r="8" spans="1:17" ht="18" customHeight="1">
      <c r="A8" s="185"/>
      <c r="B8" s="30" t="s">
        <v>194</v>
      </c>
      <c r="C8" s="33"/>
      <c r="D8" s="33">
        <f ca="1">12.255015*OFFSET(D$113,MATCH($N$1,$C$113:$C$114,0)-1,0)</f>
        <v>12.255015</v>
      </c>
      <c r="E8" s="33">
        <f ca="1">8.454091*OFFSET(E$113,MATCH($N$1,$C$113:$C$114,0)-1,0)</f>
        <v>8.454091</v>
      </c>
      <c r="F8" s="33">
        <f ca="1">6.974928*OFFSET(F$113,MATCH($N$1,$C$113:$C$114,0)-1,0)</f>
        <v>6.9749280000000002</v>
      </c>
      <c r="G8" s="33">
        <f ca="1">6.9647185*OFFSET(G$113,MATCH($N$1,$C$113:$C$114,0)-1,0)</f>
        <v>6.9647185</v>
      </c>
      <c r="H8" s="33">
        <f ca="1">7.891269*OFFSET(H$113,MATCH($N$1,$C$113:$C$114,0)-1,0)</f>
        <v>7.8912690000000003</v>
      </c>
      <c r="I8" s="33">
        <f ca="1">6.597872*OFFSET(I$113,MATCH($N$1,$C$113:$C$114,0)-1,0)</f>
        <v>6.5978719999999997</v>
      </c>
      <c r="J8" s="33">
        <f ca="1">6.5592825*OFFSET(J$113,MATCH($N$1,$C$113:$C$114,0)-1,0)</f>
        <v>6.5592825000000001</v>
      </c>
      <c r="K8" s="33">
        <f ca="1">7.054571*OFFSET(K$113,MATCH($N$1,$C$113:$C$114,0)-1,0)</f>
        <v>7.0545710000000001</v>
      </c>
      <c r="L8" s="33">
        <f ca="1">4.160067*OFFSET(L$113,MATCH($N$1,$C$113:$C$114,0)-1,0)</f>
        <v>4.1600669999999997</v>
      </c>
      <c r="M8" s="33">
        <f ca="1">4.4591075*OFFSET(M$113,MATCH($N$1,$C$113:$C$114,0)-1,0)</f>
        <v>4.4591075</v>
      </c>
      <c r="N8" s="33">
        <v>5.774438</v>
      </c>
      <c r="O8" s="29">
        <f t="shared" ca="1" si="0"/>
        <v>-0.52881020545466495</v>
      </c>
      <c r="P8" s="29">
        <f t="shared" ca="1" si="1"/>
        <v>-0.11965401703616213</v>
      </c>
    </row>
    <row r="9" spans="1:17" ht="18" customHeight="1">
      <c r="A9" s="185"/>
      <c r="B9" s="30" t="s">
        <v>195</v>
      </c>
      <c r="C9" s="31"/>
      <c r="D9" s="31">
        <v>8280</v>
      </c>
      <c r="E9" s="31">
        <v>7175</v>
      </c>
      <c r="F9" s="31">
        <v>5982</v>
      </c>
      <c r="G9" s="31">
        <v>5198</v>
      </c>
      <c r="H9" s="31">
        <v>5723</v>
      </c>
      <c r="I9" s="31">
        <v>4594</v>
      </c>
      <c r="J9" s="31">
        <v>4485</v>
      </c>
      <c r="K9" s="31">
        <v>4410</v>
      </c>
      <c r="L9" s="31">
        <v>3190</v>
      </c>
      <c r="M9" s="31">
        <v>3563</v>
      </c>
      <c r="N9" s="31">
        <v>3358</v>
      </c>
      <c r="O9" s="29">
        <f t="shared" si="0"/>
        <v>-0.59444444444444444</v>
      </c>
      <c r="P9" s="29">
        <f t="shared" si="1"/>
        <v>-0.25128205128205128</v>
      </c>
    </row>
    <row r="10" spans="1:17" ht="18" customHeight="1">
      <c r="A10" s="185"/>
      <c r="B10" s="30" t="s">
        <v>196</v>
      </c>
      <c r="C10" s="31"/>
      <c r="D10" s="31">
        <v>2785.38</v>
      </c>
      <c r="E10" s="31">
        <v>2448.15</v>
      </c>
      <c r="F10" s="31">
        <v>2030.39</v>
      </c>
      <c r="G10" s="31">
        <v>1772.43</v>
      </c>
      <c r="H10" s="31">
        <v>1927.44</v>
      </c>
      <c r="I10" s="31">
        <v>1645.3</v>
      </c>
      <c r="J10" s="31">
        <v>1734.99</v>
      </c>
      <c r="K10" s="31">
        <v>1628.93</v>
      </c>
      <c r="L10" s="31">
        <v>1208.02</v>
      </c>
      <c r="M10" s="31">
        <v>1278</v>
      </c>
      <c r="N10" s="31">
        <v>1244.4000000000001</v>
      </c>
      <c r="O10" s="29">
        <f t="shared" si="0"/>
        <v>-0.55323869633586797</v>
      </c>
      <c r="P10" s="29">
        <f t="shared" si="1"/>
        <v>-0.28276243667110468</v>
      </c>
    </row>
    <row r="11" spans="1:17" ht="18" customHeight="1">
      <c r="A11" s="185"/>
      <c r="B11" s="30" t="s">
        <v>197</v>
      </c>
      <c r="C11" s="31"/>
      <c r="D11" s="31">
        <v>227.0384521484375</v>
      </c>
      <c r="E11" s="31">
        <v>206.18183898925781</v>
      </c>
      <c r="F11" s="31">
        <v>162.92948913574219</v>
      </c>
      <c r="G11" s="31">
        <v>170.79927062988281</v>
      </c>
      <c r="H11" s="31">
        <v>186.35865783691406</v>
      </c>
      <c r="I11" s="31">
        <v>149.22700500488281</v>
      </c>
      <c r="J11" s="31">
        <v>185.06944274902344</v>
      </c>
      <c r="K11" s="31">
        <v>96.181549072265625</v>
      </c>
      <c r="L11" s="31">
        <v>103.27584838867188</v>
      </c>
      <c r="M11" s="31">
        <v>100.15504455566406</v>
      </c>
      <c r="N11" s="31">
        <v>95.175376892089844</v>
      </c>
      <c r="O11" s="34">
        <f t="shared" si="0"/>
        <v>-0.5807962219991516</v>
      </c>
      <c r="P11" s="34">
        <f t="shared" si="1"/>
        <v>-0.48573154228837673</v>
      </c>
    </row>
    <row r="12" spans="1:17" ht="18" customHeight="1">
      <c r="A12" s="186" t="s">
        <v>198</v>
      </c>
      <c r="B12" s="35" t="s">
        <v>199</v>
      </c>
      <c r="C12" s="36"/>
      <c r="D12" s="36">
        <v>15.268730163574219</v>
      </c>
      <c r="E12" s="36">
        <v>15.463859558105469</v>
      </c>
      <c r="F12" s="36">
        <v>15.353695869445801</v>
      </c>
      <c r="G12" s="36">
        <v>15.750244140625</v>
      </c>
      <c r="H12" s="36">
        <v>15.418333053588867</v>
      </c>
      <c r="I12" s="36">
        <v>15.466756820678711</v>
      </c>
      <c r="J12" s="36">
        <v>15.974545478820801</v>
      </c>
      <c r="K12" s="36">
        <v>15.242777824401855</v>
      </c>
      <c r="L12" s="36">
        <v>15.042902946472168</v>
      </c>
      <c r="M12" s="36">
        <v>14.447333335876465</v>
      </c>
      <c r="N12" s="36">
        <v>14.554814338684082</v>
      </c>
      <c r="O12" s="29">
        <f t="shared" si="0"/>
        <v>-4.6756725493341089E-2</v>
      </c>
      <c r="P12" s="29">
        <f t="shared" si="1"/>
        <v>-8.8874587512928704E-2</v>
      </c>
    </row>
    <row r="13" spans="1:17" ht="18" customHeight="1">
      <c r="A13" s="187"/>
      <c r="B13" s="37" t="s">
        <v>190</v>
      </c>
      <c r="C13" s="31"/>
      <c r="D13" s="31">
        <v>170.17460632324219</v>
      </c>
      <c r="E13" s="31">
        <v>168.75437927246094</v>
      </c>
      <c r="F13" s="31">
        <v>171.52174377441406</v>
      </c>
      <c r="G13" s="31">
        <v>169.14634704589844</v>
      </c>
      <c r="H13" s="31">
        <v>165.76190185546875</v>
      </c>
      <c r="I13" s="31">
        <v>173.43243408203125</v>
      </c>
      <c r="J13" s="31">
        <v>184.78787231445313</v>
      </c>
      <c r="K13" s="31">
        <v>181.58332824707031</v>
      </c>
      <c r="L13" s="31">
        <v>173.16128540039063</v>
      </c>
      <c r="M13" s="31">
        <v>173.5</v>
      </c>
      <c r="N13" s="31">
        <v>174.92591857910156</v>
      </c>
      <c r="O13" s="29">
        <f t="shared" si="0"/>
        <v>2.7920218877041984E-2</v>
      </c>
      <c r="P13" s="29">
        <f t="shared" si="1"/>
        <v>-5.3369052913653861E-2</v>
      </c>
    </row>
    <row r="14" spans="1:17" ht="18" customHeight="1">
      <c r="A14" s="187"/>
      <c r="B14" s="37" t="s">
        <v>191</v>
      </c>
      <c r="C14" s="31"/>
      <c r="D14" s="31">
        <v>42</v>
      </c>
      <c r="E14" s="31">
        <v>41.473682403564453</v>
      </c>
      <c r="F14" s="31">
        <v>42.739131927490234</v>
      </c>
      <c r="G14" s="31">
        <v>45.43902587890625</v>
      </c>
      <c r="H14" s="31">
        <v>42.976188659667969</v>
      </c>
      <c r="I14" s="31">
        <v>45.810810089111328</v>
      </c>
      <c r="J14" s="31">
        <v>49</v>
      </c>
      <c r="K14" s="31">
        <v>42.861110687255859</v>
      </c>
      <c r="L14" s="31">
        <v>43.516128540039063</v>
      </c>
      <c r="M14" s="31">
        <v>40.833332061767578</v>
      </c>
      <c r="N14" s="31">
        <v>39.444442749023438</v>
      </c>
      <c r="O14" s="29">
        <f t="shared" si="0"/>
        <v>-6.0846601213727682E-2</v>
      </c>
      <c r="P14" s="29">
        <f t="shared" si="1"/>
        <v>-0.19501137246890943</v>
      </c>
    </row>
    <row r="15" spans="1:17" ht="18" customHeight="1">
      <c r="A15" s="187"/>
      <c r="B15" s="37" t="s">
        <v>192</v>
      </c>
      <c r="C15" s="31"/>
      <c r="D15" s="31">
        <v>157.28781127929688</v>
      </c>
      <c r="E15" s="31">
        <v>157.1700439453125</v>
      </c>
      <c r="F15" s="31">
        <v>157.44894409179688</v>
      </c>
      <c r="G15" s="31">
        <v>159.81434631347656</v>
      </c>
      <c r="H15" s="31">
        <v>155.76165771484375</v>
      </c>
      <c r="I15" s="31">
        <v>160.68025207519531</v>
      </c>
      <c r="J15" s="31">
        <v>171.04490661621094</v>
      </c>
      <c r="K15" s="31">
        <v>163.38648986816406</v>
      </c>
      <c r="L15" s="31">
        <v>158.85269165039063</v>
      </c>
      <c r="M15" s="31">
        <v>153.94145202636719</v>
      </c>
      <c r="N15" s="31">
        <v>155.64604187011719</v>
      </c>
      <c r="O15" s="29">
        <f t="shared" si="0"/>
        <v>-1.0437995136599543E-2</v>
      </c>
      <c r="P15" s="29">
        <f t="shared" si="1"/>
        <v>-9.0028198154099889E-2</v>
      </c>
    </row>
    <row r="16" spans="1:17" ht="18" customHeight="1">
      <c r="A16" s="187"/>
      <c r="B16" s="37" t="s">
        <v>193</v>
      </c>
      <c r="C16" s="33"/>
      <c r="D16" s="33">
        <v>76.42755126953125</v>
      </c>
      <c r="E16" s="33">
        <v>68.479598999023438</v>
      </c>
      <c r="F16" s="33">
        <v>62.053295135498047</v>
      </c>
      <c r="G16" s="33">
        <v>75.161796569824219</v>
      </c>
      <c r="H16" s="33">
        <v>77.064353942871094</v>
      </c>
      <c r="I16" s="33">
        <v>74.392837524414063</v>
      </c>
      <c r="J16" s="33">
        <v>79.9146728515625</v>
      </c>
      <c r="K16" s="33">
        <v>78.645767211914063</v>
      </c>
      <c r="L16" s="33">
        <v>72.650382995605469</v>
      </c>
      <c r="M16" s="33">
        <v>78.453536987304688</v>
      </c>
      <c r="N16" s="33">
        <v>85.022560119628906</v>
      </c>
      <c r="O16" s="29">
        <f t="shared" si="0"/>
        <v>0.1124595608170971</v>
      </c>
      <c r="P16" s="29">
        <f t="shared" si="1"/>
        <v>6.3916763790725278E-2</v>
      </c>
    </row>
    <row r="17" spans="1:16" ht="18" customHeight="1">
      <c r="A17" s="187"/>
      <c r="B17" s="37" t="s">
        <v>200</v>
      </c>
      <c r="C17" s="33"/>
      <c r="D17" s="33">
        <f ca="1">194.524046875*OFFSET(D$113,MATCH($N$1,$C$113:$C$114,0)-1,0)</f>
        <v>194.52404687500001</v>
      </c>
      <c r="E17" s="33">
        <f ca="1">148.317390625*OFFSET(E$113,MATCH($N$1,$C$113:$C$114,0)-1,0)</f>
        <v>148.317390625</v>
      </c>
      <c r="F17" s="33">
        <f ca="1">151.628859375*OFFSET(F$113,MATCH($N$1,$C$113:$C$114,0)-1,0)</f>
        <v>151.62885937499999</v>
      </c>
      <c r="G17" s="33">
        <f ca="1">169.8711875*OFFSET(G$113,MATCH($N$1,$C$113:$C$114,0)-1,0)</f>
        <v>169.87118749999999</v>
      </c>
      <c r="H17" s="33">
        <f ca="1">187.887359375*OFFSET(H$113,MATCH($N$1,$C$113:$C$114,0)-1,0)</f>
        <v>187.88735937499999</v>
      </c>
      <c r="I17" s="33">
        <f ca="1">178.320859375*OFFSET(I$113,MATCH($N$1,$C$113:$C$114,0)-1,0)</f>
        <v>178.320859375</v>
      </c>
      <c r="J17" s="33">
        <f ca="1">198.766140625*OFFSET(J$113,MATCH($N$1,$C$113:$C$114,0)-1,0)</f>
        <v>198.76614062499999</v>
      </c>
      <c r="K17" s="33">
        <f ca="1">195.9603125*OFFSET(K$113,MATCH($N$1,$C$113:$C$114,0)-1,0)</f>
        <v>195.96031249999999</v>
      </c>
      <c r="L17" s="33">
        <f ca="1">134.195703125*OFFSET(L$113,MATCH($N$1,$C$113:$C$114,0)-1,0)</f>
        <v>134.19570312499999</v>
      </c>
      <c r="M17" s="33">
        <f ca="1">148.636921875*OFFSET(M$113,MATCH($N$1,$C$113:$C$114,0)-1,0)</f>
        <v>148.63692187500001</v>
      </c>
      <c r="N17" s="33">
        <v>213.86806250000001</v>
      </c>
      <c r="O17" s="29">
        <f t="shared" ca="1" si="0"/>
        <v>9.9442798644993988E-2</v>
      </c>
      <c r="P17" s="29">
        <f t="shared" ca="1" si="1"/>
        <v>7.5978342324872605E-2</v>
      </c>
    </row>
    <row r="18" spans="1:16" ht="18" customHeight="1">
      <c r="A18" s="187"/>
      <c r="B18" s="37" t="s">
        <v>195</v>
      </c>
      <c r="C18" s="31"/>
      <c r="D18" s="31">
        <v>131.42857360839844</v>
      </c>
      <c r="E18" s="31">
        <v>125.87718963623047</v>
      </c>
      <c r="F18" s="31">
        <v>130.04347229003906</v>
      </c>
      <c r="G18" s="31">
        <v>126.78048706054688</v>
      </c>
      <c r="H18" s="31">
        <v>136.26190185546875</v>
      </c>
      <c r="I18" s="31">
        <v>124.16216278076172</v>
      </c>
      <c r="J18" s="31">
        <v>135.90908813476563</v>
      </c>
      <c r="K18" s="31">
        <v>122.5</v>
      </c>
      <c r="L18" s="31">
        <v>102.90322875976563</v>
      </c>
      <c r="M18" s="31">
        <v>118.76667022705078</v>
      </c>
      <c r="N18" s="31">
        <v>124.37036895751953</v>
      </c>
      <c r="O18" s="29">
        <f t="shared" si="0"/>
        <v>-5.3703730148585274E-2</v>
      </c>
      <c r="P18" s="29">
        <f t="shared" si="1"/>
        <v>-8.4900276615824652E-2</v>
      </c>
    </row>
    <row r="19" spans="1:16" ht="18" customHeight="1">
      <c r="A19" s="187"/>
      <c r="B19" s="37" t="s">
        <v>201</v>
      </c>
      <c r="C19" s="31"/>
      <c r="D19" s="31">
        <v>36.682540893554688</v>
      </c>
      <c r="E19" s="31">
        <v>39.350875854492188</v>
      </c>
      <c r="F19" s="31">
        <v>38.804347991943359</v>
      </c>
      <c r="G19" s="31">
        <v>40.073169708251953</v>
      </c>
      <c r="H19" s="31">
        <v>40.833332061767578</v>
      </c>
      <c r="I19" s="31">
        <v>39.486488342285156</v>
      </c>
      <c r="J19" s="31">
        <v>40.969696044921875</v>
      </c>
      <c r="K19" s="31">
        <v>40.055557250976563</v>
      </c>
      <c r="L19" s="31">
        <v>41.870967864990234</v>
      </c>
      <c r="M19" s="31">
        <v>42.266666412353516</v>
      </c>
      <c r="N19" s="31">
        <v>40.037036895751953</v>
      </c>
      <c r="O19" s="29">
        <f t="shared" si="0"/>
        <v>9.1446664284552545E-2</v>
      </c>
      <c r="P19" s="29">
        <f t="shared" si="1"/>
        <v>-2.2764609924059306E-2</v>
      </c>
    </row>
    <row r="20" spans="1:16" ht="18" customHeight="1">
      <c r="A20" s="187"/>
      <c r="B20" s="37" t="s">
        <v>202</v>
      </c>
      <c r="C20" s="38"/>
      <c r="D20" s="38">
        <v>0.58151394128799438</v>
      </c>
      <c r="E20" s="38">
        <v>0.54401910305023193</v>
      </c>
      <c r="F20" s="38">
        <v>0.47717347741127014</v>
      </c>
      <c r="G20" s="38">
        <v>0.59284985065460205</v>
      </c>
      <c r="H20" s="38">
        <v>0.56556051969528198</v>
      </c>
      <c r="I20" s="38">
        <v>0.59915870428085327</v>
      </c>
      <c r="J20" s="38">
        <v>0.58800095319747925</v>
      </c>
      <c r="K20" s="38">
        <v>0.6420062780380249</v>
      </c>
      <c r="L20" s="38">
        <v>0.70600682497024536</v>
      </c>
      <c r="M20" s="38">
        <v>0.66056865453720093</v>
      </c>
      <c r="N20" s="38">
        <v>0.68362390995025635</v>
      </c>
      <c r="O20" s="29">
        <f t="shared" si="0"/>
        <v>0.17559332874479114</v>
      </c>
      <c r="P20" s="29">
        <f t="shared" si="1"/>
        <v>0.16262381248328056</v>
      </c>
    </row>
    <row r="21" spans="1:16" ht="18" customHeight="1">
      <c r="A21" s="188"/>
      <c r="B21" s="39" t="s">
        <v>203</v>
      </c>
      <c r="C21" s="40"/>
      <c r="D21" s="40">
        <f ca="1">2545*OFFSET(D$113,MATCH($N$1,$C$113:$C$114,0)-1,0)</f>
        <v>2545</v>
      </c>
      <c r="E21" s="40">
        <f ca="1">2166*OFFSET(E$113,MATCH($N$1,$C$113:$C$114,0)-1,0)</f>
        <v>2166</v>
      </c>
      <c r="F21" s="40">
        <f ca="1">2444*OFFSET(F$113,MATCH($N$1,$C$113:$C$114,0)-1,0)</f>
        <v>2444</v>
      </c>
      <c r="G21" s="40">
        <f ca="1">2260*OFFSET(G$113,MATCH($N$1,$C$113:$C$114,0)-1,0)</f>
        <v>2260</v>
      </c>
      <c r="H21" s="40">
        <f ca="1">2438*OFFSET(H$113,MATCH($N$1,$C$113:$C$114,0)-1,0)</f>
        <v>2438</v>
      </c>
      <c r="I21" s="40">
        <f ca="1">2397*OFFSET(I$113,MATCH($N$1,$C$113:$C$114,0)-1,0)</f>
        <v>2397</v>
      </c>
      <c r="J21" s="40">
        <f ca="1">2487*OFFSET(J$113,MATCH($N$1,$C$113:$C$114,0)-1,0)</f>
        <v>2487</v>
      </c>
      <c r="K21" s="40">
        <f ca="1">2492*OFFSET(K$113,MATCH($N$1,$C$113:$C$114,0)-1,0)</f>
        <v>2492</v>
      </c>
      <c r="L21" s="40">
        <f ca="1">1847*OFFSET(L$113,MATCH($N$1,$C$113:$C$114,0)-1,0)</f>
        <v>1847</v>
      </c>
      <c r="M21" s="40">
        <f ca="1">1895*OFFSET(M$113,MATCH($N$1,$C$113:$C$114,0)-1,0)</f>
        <v>1895</v>
      </c>
      <c r="N21" s="40">
        <v>2515</v>
      </c>
      <c r="O21" s="34">
        <f t="shared" ca="1" si="0"/>
        <v>-1.1787819253438114E-2</v>
      </c>
      <c r="P21" s="34">
        <f t="shared" ca="1" si="1"/>
        <v>1.1258544431041415E-2</v>
      </c>
    </row>
    <row r="22" spans="1:16" ht="18" customHeight="1">
      <c r="A22" s="189" t="s">
        <v>204</v>
      </c>
      <c r="B22" s="35" t="s">
        <v>205</v>
      </c>
      <c r="C22" s="41"/>
      <c r="D22" s="41">
        <v>3.3961332581277488</v>
      </c>
      <c r="E22" s="41">
        <v>3.173493963976195</v>
      </c>
      <c r="F22" s="41">
        <v>2.7335049176467137</v>
      </c>
      <c r="G22" s="41">
        <v>3.4210155616052056</v>
      </c>
      <c r="H22" s="41">
        <v>3.3469167829681528</v>
      </c>
      <c r="I22" s="41">
        <v>3.3745445999766814</v>
      </c>
      <c r="J22" s="41">
        <v>3.0978682595323872</v>
      </c>
      <c r="K22" s="41">
        <v>3.4496068397965258</v>
      </c>
      <c r="L22" s="41">
        <v>3.866923438686745</v>
      </c>
      <c r="M22" s="41">
        <v>3.6132223505791354</v>
      </c>
      <c r="N22" s="41">
        <v>3.6807541701678952</v>
      </c>
      <c r="O22" s="29">
        <f t="shared" si="0"/>
        <v>8.3807345120802124E-2</v>
      </c>
      <c r="P22" s="29">
        <f t="shared" si="1"/>
        <v>0.18815710088442969</v>
      </c>
    </row>
    <row r="23" spans="1:16" ht="18" customHeight="1">
      <c r="A23" s="189"/>
      <c r="B23" s="37" t="s">
        <v>206</v>
      </c>
      <c r="C23" s="38"/>
      <c r="D23" s="38">
        <f ca="1">8.64386695797693*OFFSET(D$113,MATCH($N$1,$C$113:$C$114,0)-1,0)</f>
        <v>8.6438669579769307</v>
      </c>
      <c r="E23" s="38">
        <f ca="1">6.87335134523567*OFFSET(E$113,MATCH($N$1,$C$113:$C$114,0)-1,0)</f>
        <v>6.8733513452356698</v>
      </c>
      <c r="F23" s="38">
        <f ca="1">6.67939118871415*OFFSET(F$113,MATCH($N$1,$C$113:$C$114,0)-1,0)</f>
        <v>6.6793911887141499</v>
      </c>
      <c r="G23" s="38">
        <f ca="1">7.73174674405225*OFFSET(G$113,MATCH($N$1,$C$113:$C$114,0)-1,0)</f>
        <v>7.7317467440522503</v>
      </c>
      <c r="H23" s="38">
        <f ca="1">8.15997700916207*OFFSET(H$113,MATCH($N$1,$C$113:$C$114,0)-1,0)</f>
        <v>8.1599770091620698</v>
      </c>
      <c r="I23" s="38">
        <f ca="1">8.0888391018776*OFFSET(I$113,MATCH($N$1,$C$113:$C$114,0)-1,0)</f>
        <v>8.0888391018775998</v>
      </c>
      <c r="J23" s="38">
        <f ca="1">7.70510966434995*OFFSET(J$113,MATCH($N$1,$C$113:$C$114,0)-1,0)</f>
        <v>7.7051096643499504</v>
      </c>
      <c r="K23" s="38">
        <f ca="1">8.59532633850712*OFFSET(K$113,MATCH($N$1,$C$113:$C$114,0)-1,0)</f>
        <v>8.5953263385071192</v>
      </c>
      <c r="L23" s="38">
        <f ca="1">7.14276358070266*OFFSET(L$113,MATCH($N$1,$C$113:$C$114,0)-1,0)</f>
        <v>7.1427635807026597</v>
      </c>
      <c r="M23" s="38">
        <f ca="1">6.84555813368799*OFFSET(M$113,MATCH($N$1,$C$113:$C$114,0)-1,0)</f>
        <v>6.84555813368799</v>
      </c>
      <c r="N23" s="38">
        <v>9.2586692497261733</v>
      </c>
      <c r="O23" s="29">
        <f t="shared" ca="1" si="0"/>
        <v>7.1125839249744208E-2</v>
      </c>
      <c r="P23" s="29">
        <f t="shared" ca="1" si="1"/>
        <v>0.20162718676987068</v>
      </c>
    </row>
    <row r="24" spans="1:16" ht="18" customHeight="1">
      <c r="A24" s="189"/>
      <c r="B24" s="37" t="s">
        <v>153</v>
      </c>
      <c r="C24" s="38"/>
      <c r="D24" s="38">
        <f ca="1">6.88749124081751*OFFSET(D$113,MATCH($N$1,$C$113:$C$114,0)-1,0)</f>
        <v>6.8874912408175097</v>
      </c>
      <c r="E24" s="38">
        <f ca="1">5.47257229086054*OFFSET(E$113,MATCH($N$1,$C$113:$C$114,0)-1,0)</f>
        <v>5.4725722908605396</v>
      </c>
      <c r="F24" s="38">
        <f ca="1">5.62035022935732*OFFSET(F$113,MATCH($N$1,$C$113:$C$114,0)-1,0)</f>
        <v>5.62035022935732</v>
      </c>
      <c r="G24" s="38">
        <f ca="1">6.15741093036934*OFFSET(G$113,MATCH($N$1,$C$113:$C$114,0)-1,0)</f>
        <v>6.1574109303693403</v>
      </c>
      <c r="H24" s="38">
        <f ca="1">6.36798200091543*OFFSET(H$113,MATCH($N$1,$C$113:$C$114,0)-1,0)</f>
        <v>6.36798200091543</v>
      </c>
      <c r="I24" s="38">
        <f ca="1">6.6457201224184*OFFSET(I$113,MATCH($N$1,$C$113:$C$114,0)-1,0)</f>
        <v>6.6457201224183997</v>
      </c>
      <c r="J24" s="38">
        <f ca="1">6.20758868390288*OFFSET(J$113,MATCH($N$1,$C$113:$C$114,0)-1,0)</f>
        <v>6.2075886839028804</v>
      </c>
      <c r="K24" s="38">
        <f ca="1">7.21715025776123*OFFSET(K$113,MATCH($N$1,$C$113:$C$114,0)-1,0)</f>
        <v>7.2171502577612303</v>
      </c>
      <c r="L24" s="38">
        <f ca="1">5.93346462529293*OFFSET(L$113,MATCH($N$1,$C$113:$C$114,0)-1,0)</f>
        <v>5.9334646252929302</v>
      </c>
      <c r="M24" s="38">
        <f ca="1">5.47766311610007*OFFSET(M$113,MATCH($N$1,$C$113:$C$114,0)-1,0)</f>
        <v>5.4776631161000697</v>
      </c>
      <c r="N24" s="38">
        <v>7.6619703465695972</v>
      </c>
      <c r="O24" s="29">
        <f t="shared" ca="1" si="0"/>
        <v>0.11244720010128982</v>
      </c>
      <c r="P24" s="29">
        <f t="shared" ca="1" si="1"/>
        <v>0.23429091982819766</v>
      </c>
    </row>
    <row r="25" spans="1:16" ht="18" customHeight="1">
      <c r="A25" s="189"/>
      <c r="B25" s="37" t="s">
        <v>154</v>
      </c>
      <c r="C25" s="38"/>
      <c r="D25" s="38">
        <f ca="1">1.97475064210861*OFFSET(D$113,MATCH($N$1,$C$113:$C$114,0)-1,0)</f>
        <v>1.9747506421086101</v>
      </c>
      <c r="E25" s="38">
        <f ca="1">1.45768243839522*OFFSET(E$113,MATCH($N$1,$C$113:$C$114,0)-1,0)</f>
        <v>1.45768243839522</v>
      </c>
      <c r="F25" s="38">
        <f ca="1">1.09427766466786*OFFSET(F$113,MATCH($N$1,$C$113:$C$114,0)-1,0)</f>
        <v>1.09427766466786</v>
      </c>
      <c r="G25" s="38">
        <f ca="1">1.57433581368291*OFFSET(G$113,MATCH($N$1,$C$113:$C$114,0)-1,0)</f>
        <v>1.57433581368291</v>
      </c>
      <c r="H25" s="38">
        <f ca="1">1.79199500824664*OFFSET(H$113,MATCH($N$1,$C$113:$C$114,0)-1,0)</f>
        <v>1.79199500824664</v>
      </c>
      <c r="I25" s="38">
        <f ca="1">2.14309847834608*OFFSET(I$113,MATCH($N$1,$C$113:$C$114,0)-1,0)</f>
        <v>2.1430984783460798</v>
      </c>
      <c r="J25" s="38">
        <f ca="1">1.61219779718082*OFFSET(J$113,MATCH($N$1,$C$113:$C$114,0)-1,0)</f>
        <v>1.6121977971808199</v>
      </c>
      <c r="K25" s="38">
        <f ca="1">1.43013854923464*OFFSET(K$113,MATCH($N$1,$C$113:$C$114,0)-1,0)</f>
        <v>1.4301385492346399</v>
      </c>
      <c r="L25" s="38">
        <f ca="1">2.69224205485778*OFFSET(L$113,MATCH($N$1,$C$113:$C$114,0)-1,0)</f>
        <v>2.6922420548577799</v>
      </c>
      <c r="M25" s="38">
        <f ca="1">1.62735988694797*OFFSET(M$113,MATCH($N$1,$C$113:$C$114,0)-1,0)</f>
        <v>1.62735988694797</v>
      </c>
      <c r="N25" s="38">
        <v>1.6034427565456832</v>
      </c>
      <c r="O25" s="29">
        <f t="shared" ca="1" si="0"/>
        <v>-0.1880277325376381</v>
      </c>
      <c r="P25" s="29">
        <f t="shared" ca="1" si="1"/>
        <v>-5.4305003086136299E-3</v>
      </c>
    </row>
    <row r="26" spans="1:16" ht="18" customHeight="1">
      <c r="A26" s="189"/>
      <c r="B26" s="37" t="s">
        <v>207</v>
      </c>
      <c r="C26" s="33"/>
      <c r="D26" s="33">
        <f ca="1">53.97*OFFSET(D$113,MATCH($N$1,$C$113:$C$114,0)-1,0)</f>
        <v>53.97</v>
      </c>
      <c r="E26" s="33">
        <f ca="1">41*OFFSET(E$113,MATCH($N$1,$C$113:$C$114,0)-1,0)</f>
        <v>41</v>
      </c>
      <c r="F26" s="33">
        <f ca="1">42.8*OFFSET(F$113,MATCH($N$1,$C$113:$C$114,0)-1,0)</f>
        <v>42.8</v>
      </c>
      <c r="G26" s="33">
        <f ca="1">40.78*OFFSET(G$113,MATCH($N$1,$C$113:$C$114,0)-1,0)</f>
        <v>40.78</v>
      </c>
      <c r="H26" s="33">
        <f ca="1">42.35*OFFSET(H$113,MATCH($N$1,$C$113:$C$114,0)-1,0)</f>
        <v>42.35</v>
      </c>
      <c r="I26" s="33">
        <f ca="1">44.21*OFFSET(I$113,MATCH($N$1,$C$113:$C$114,0)-1,0)</f>
        <v>44.21</v>
      </c>
      <c r="J26" s="33">
        <f ca="1">35.45*OFFSET(J$113,MATCH($N$1,$C$113:$C$114,0)-1,0)</f>
        <v>35.450000000000003</v>
      </c>
      <c r="K26" s="33">
        <f ca="1">73.36*OFFSET(K$113,MATCH($N$1,$C$113:$C$114,0)-1,0)</f>
        <v>73.36</v>
      </c>
      <c r="L26" s="33">
        <f ca="1">40.28*OFFSET(L$113,MATCH($N$1,$C$113:$C$114,0)-1,0)</f>
        <v>40.28</v>
      </c>
      <c r="M26" s="33">
        <f ca="1">44.51*OFFSET(M$113,MATCH($N$1,$C$113:$C$114,0)-1,0)</f>
        <v>44.51</v>
      </c>
      <c r="N26" s="33">
        <v>60.68</v>
      </c>
      <c r="O26" s="29">
        <f t="shared" ca="1" si="0"/>
        <v>0.1243283305540115</v>
      </c>
      <c r="P26" s="29">
        <f t="shared" ca="1" si="1"/>
        <v>0.71170662905500692</v>
      </c>
    </row>
    <row r="27" spans="1:16" ht="18" customHeight="1">
      <c r="A27" s="190"/>
      <c r="B27" s="37" t="s">
        <v>208</v>
      </c>
      <c r="C27" s="33"/>
      <c r="D27" s="33">
        <f ca="1">12.32*OFFSET(D$113,MATCH($N$1,$C$113:$C$114,0)-1,0)</f>
        <v>12.32</v>
      </c>
      <c r="E27" s="33">
        <f ca="1">8.71*OFFSET(E$113,MATCH($N$1,$C$113:$C$114,0)-1,0)</f>
        <v>8.7100000000000009</v>
      </c>
      <c r="F27" s="33">
        <f ca="1">7*OFFSET(F$113,MATCH($N$1,$C$113:$C$114,0)-1,0)</f>
        <v>7</v>
      </c>
      <c r="G27" s="33">
        <f ca="1">8.31*OFFSET(G$113,MATCH($N$1,$C$113:$C$114,0)-1,0)</f>
        <v>8.31</v>
      </c>
      <c r="H27" s="33">
        <f ca="1">9.31*OFFSET(H$113,MATCH($N$1,$C$113:$C$114,0)-1,0)</f>
        <v>9.31</v>
      </c>
      <c r="I27" s="33">
        <f ca="1">11.7*OFFSET(I$113,MATCH($N$1,$C$113:$C$114,0)-1,0)</f>
        <v>11.7</v>
      </c>
      <c r="J27" s="33">
        <f ca="1">7.42*OFFSET(J$113,MATCH($N$1,$C$113:$C$114,0)-1,0)</f>
        <v>7.42</v>
      </c>
      <c r="K27" s="33">
        <f ca="1">12.2*OFFSET(K$113,MATCH($N$1,$C$113:$C$114,0)-1,0)</f>
        <v>12.2</v>
      </c>
      <c r="L27" s="33">
        <f ca="1">15.19*OFFSET(L$113,MATCH($N$1,$C$113:$C$114,0)-1,0)</f>
        <v>15.19</v>
      </c>
      <c r="M27" s="33">
        <f ca="1">10.57*OFFSET(M$113,MATCH($N$1,$C$113:$C$114,0)-1,0)</f>
        <v>10.57</v>
      </c>
      <c r="N27" s="33">
        <v>10.5</v>
      </c>
      <c r="O27" s="34">
        <f t="shared" ca="1" si="0"/>
        <v>-0.14772727272727273</v>
      </c>
      <c r="P27" s="34">
        <f t="shared" ca="1" si="1"/>
        <v>0.41509433962264153</v>
      </c>
    </row>
    <row r="28" spans="1:16" s="78" customFormat="1" ht="18" customHeight="1">
      <c r="A28" s="191" t="s">
        <v>209</v>
      </c>
      <c r="B28" s="82" t="s">
        <v>200</v>
      </c>
      <c r="C28" s="83"/>
      <c r="D28" s="83">
        <f ca="1">194.5*OFFSET(D$113,MATCH($N$1,$C$113:$C$114,0)-1,0)</f>
        <v>194.5</v>
      </c>
      <c r="E28" s="83">
        <f ca="1">148.3*OFFSET(E$113,MATCH($N$1,$C$113:$C$114,0)-1,0)</f>
        <v>148.30000000000001</v>
      </c>
      <c r="F28" s="83">
        <f ca="1">151.6*OFFSET(F$113,MATCH($N$1,$C$113:$C$114,0)-1,0)</f>
        <v>151.6</v>
      </c>
      <c r="G28" s="83">
        <f ca="1">169.9*OFFSET(G$113,MATCH($N$1,$C$113:$C$114,0)-1,0)</f>
        <v>169.9</v>
      </c>
      <c r="H28" s="83">
        <f ca="1">187.9*OFFSET(H$113,MATCH($N$1,$C$113:$C$114,0)-1,0)</f>
        <v>187.9</v>
      </c>
      <c r="I28" s="83">
        <f ca="1">178.3*OFFSET(I$113,MATCH($N$1,$C$113:$C$114,0)-1,0)</f>
        <v>178.3</v>
      </c>
      <c r="J28" s="83">
        <f ca="1">198.8*OFFSET(J$113,MATCH($N$1,$C$113:$C$114,0)-1,0)</f>
        <v>198.8</v>
      </c>
      <c r="K28" s="83">
        <f ca="1">196*OFFSET(K$113,MATCH($N$1,$C$113:$C$114,0)-1,0)</f>
        <v>196</v>
      </c>
      <c r="L28" s="83">
        <f ca="1">134.2*OFFSET(L$113,MATCH($N$1,$C$113:$C$114,0)-1,0)</f>
        <v>134.19999999999999</v>
      </c>
      <c r="M28" s="83">
        <f ca="1">148.6*OFFSET(M$113,MATCH($N$1,$C$113:$C$114,0)-1,0)</f>
        <v>148.6</v>
      </c>
      <c r="N28" s="83">
        <v>213.9</v>
      </c>
      <c r="O28" s="84">
        <f t="shared" ca="1" si="0"/>
        <v>9.9742930591259674E-2</v>
      </c>
      <c r="P28" s="84">
        <f t="shared" ca="1" si="1"/>
        <v>7.5955734406438602E-2</v>
      </c>
    </row>
    <row r="29" spans="1:16" s="78" customFormat="1" ht="18" customHeight="1">
      <c r="A29" s="192"/>
      <c r="B29" s="85" t="s">
        <v>210</v>
      </c>
      <c r="C29" s="86"/>
      <c r="D29" s="86">
        <f ca="1">4.9*OFFSET(D$113,MATCH($N$1,$C$113:$C$114,0)-1,0)</f>
        <v>4.9000000000000004</v>
      </c>
      <c r="E29" s="86">
        <f ca="1">1.2*OFFSET(E$113,MATCH($N$1,$C$113:$C$114,0)-1,0)</f>
        <v>1.2</v>
      </c>
      <c r="F29" s="86">
        <f ca="1">0.8*OFFSET(F$113,MATCH($N$1,$C$113:$C$114,0)-1,0)</f>
        <v>0.8</v>
      </c>
      <c r="G29" s="86"/>
      <c r="H29" s="86"/>
      <c r="I29" s="86">
        <f ca="1">15.4*OFFSET(I$113,MATCH($N$1,$C$113:$C$114,0)-1,0)</f>
        <v>15.4</v>
      </c>
      <c r="J29" s="86">
        <f ca="1">3*OFFSET(J$113,MATCH($N$1,$C$113:$C$114,0)-1,0)</f>
        <v>3</v>
      </c>
      <c r="K29" s="86">
        <f ca="1">1.2*OFFSET(K$113,MATCH($N$1,$C$113:$C$114,0)-1,0)</f>
        <v>1.2</v>
      </c>
      <c r="L29" s="86">
        <f ca="1">27.9*OFFSET(L$113,MATCH($N$1,$C$113:$C$114,0)-1,0)</f>
        <v>27.9</v>
      </c>
      <c r="M29" s="86">
        <f ca="1">5.6*OFFSET(M$113,MATCH($N$1,$C$113:$C$114,0)-1,0)</f>
        <v>5.6</v>
      </c>
      <c r="N29" s="86">
        <v>0.2</v>
      </c>
      <c r="O29" s="84">
        <f t="shared" ca="1" si="0"/>
        <v>-0.95918367346938771</v>
      </c>
      <c r="P29" s="84">
        <f t="shared" ca="1" si="1"/>
        <v>-0.93333333333333324</v>
      </c>
    </row>
    <row r="30" spans="1:16" s="78" customFormat="1" ht="18" customHeight="1">
      <c r="A30" s="192"/>
      <c r="B30" s="87" t="s">
        <v>211</v>
      </c>
      <c r="C30" s="88"/>
      <c r="D30" s="88">
        <f ca="1">199.4*OFFSET(D$113,MATCH($N$1,$C$113:$C$114,0)-1,0)</f>
        <v>199.4</v>
      </c>
      <c r="E30" s="88">
        <f ca="1">149.5*OFFSET(E$113,MATCH($N$1,$C$113:$C$114,0)-1,0)</f>
        <v>149.5</v>
      </c>
      <c r="F30" s="88">
        <f ca="1">152.4*OFFSET(F$113,MATCH($N$1,$C$113:$C$114,0)-1,0)</f>
        <v>152.4</v>
      </c>
      <c r="G30" s="88">
        <f ca="1">169.9*OFFSET(G$113,MATCH($N$1,$C$113:$C$114,0)-1,0)</f>
        <v>169.9</v>
      </c>
      <c r="H30" s="88">
        <f ca="1">187.9*OFFSET(H$113,MATCH($N$1,$C$113:$C$114,0)-1,0)</f>
        <v>187.9</v>
      </c>
      <c r="I30" s="88">
        <f ca="1">193.8*OFFSET(I$113,MATCH($N$1,$C$113:$C$114,0)-1,0)</f>
        <v>193.8</v>
      </c>
      <c r="J30" s="88">
        <f ca="1">201.7*OFFSET(J$113,MATCH($N$1,$C$113:$C$114,0)-1,0)</f>
        <v>201.7</v>
      </c>
      <c r="K30" s="88">
        <f ca="1">197.1*OFFSET(K$113,MATCH($N$1,$C$113:$C$114,0)-1,0)</f>
        <v>197.1</v>
      </c>
      <c r="L30" s="88">
        <f ca="1">162.1*OFFSET(L$113,MATCH($N$1,$C$113:$C$114,0)-1,0)</f>
        <v>162.1</v>
      </c>
      <c r="M30" s="88">
        <f ca="1">154.3*OFFSET(M$113,MATCH($N$1,$C$113:$C$114,0)-1,0)</f>
        <v>154.30000000000001</v>
      </c>
      <c r="N30" s="88">
        <v>214</v>
      </c>
      <c r="O30" s="84">
        <f t="shared" ca="1" si="0"/>
        <v>7.3219658976930765E-2</v>
      </c>
      <c r="P30" s="84">
        <f t="shared" ca="1" si="1"/>
        <v>6.0981655924640617E-2</v>
      </c>
    </row>
    <row r="31" spans="1:16" s="78" customFormat="1" ht="18" customHeight="1">
      <c r="A31" s="192"/>
      <c r="B31" s="85" t="s">
        <v>212</v>
      </c>
      <c r="C31" s="86"/>
      <c r="D31" s="86">
        <f ca="1">31.2*OFFSET(D$113,MATCH($N$1,$C$113:$C$114,0)-1,0)</f>
        <v>31.2</v>
      </c>
      <c r="E31" s="86">
        <f ca="1">29*OFFSET(E$113,MATCH($N$1,$C$113:$C$114,0)-1,0)</f>
        <v>29</v>
      </c>
      <c r="F31" s="86">
        <f ca="1">27.1*OFFSET(F$113,MATCH($N$1,$C$113:$C$114,0)-1,0)</f>
        <v>27.1</v>
      </c>
      <c r="G31" s="86">
        <f ca="1">18.6*OFFSET(G$113,MATCH($N$1,$C$113:$C$114,0)-1,0)</f>
        <v>18.600000000000001</v>
      </c>
      <c r="H31" s="86">
        <f ca="1">18*OFFSET(H$113,MATCH($N$1,$C$113:$C$114,0)-1,0)</f>
        <v>18</v>
      </c>
      <c r="I31" s="86">
        <f ca="1">21.2*OFFSET(I$113,MATCH($N$1,$C$113:$C$114,0)-1,0)</f>
        <v>21.2</v>
      </c>
      <c r="J31" s="86">
        <f ca="1">30*OFFSET(J$113,MATCH($N$1,$C$113:$C$114,0)-1,0)</f>
        <v>30</v>
      </c>
      <c r="K31" s="86">
        <f ca="1">25*OFFSET(K$113,MATCH($N$1,$C$113:$C$114,0)-1,0)</f>
        <v>25</v>
      </c>
      <c r="L31" s="86">
        <f ca="1">14.8*OFFSET(L$113,MATCH($N$1,$C$113:$C$114,0)-1,0)</f>
        <v>14.8</v>
      </c>
      <c r="M31" s="86">
        <f ca="1">19.9*OFFSET(M$113,MATCH($N$1,$C$113:$C$114,0)-1,0)</f>
        <v>19.899999999999999</v>
      </c>
      <c r="N31" s="86">
        <v>39.4</v>
      </c>
      <c r="O31" s="84">
        <f t="shared" ca="1" si="0"/>
        <v>0.26282051282051283</v>
      </c>
      <c r="P31" s="84">
        <f t="shared" ca="1" si="1"/>
        <v>0.3133333333333333</v>
      </c>
    </row>
    <row r="32" spans="1:16" s="78" customFormat="1" ht="18" customHeight="1">
      <c r="A32" s="192"/>
      <c r="B32" s="85" t="s">
        <v>213</v>
      </c>
      <c r="C32" s="86"/>
      <c r="D32" s="86">
        <f ca="1">59.5*OFFSET(D$113,MATCH($N$1,$C$113:$C$114,0)-1,0)</f>
        <v>59.5</v>
      </c>
      <c r="E32" s="86">
        <f ca="1">42.8*OFFSET(E$113,MATCH($N$1,$C$113:$C$114,0)-1,0)</f>
        <v>42.8</v>
      </c>
      <c r="F32" s="86">
        <f ca="1">53.8*OFFSET(F$113,MATCH($N$1,$C$113:$C$114,0)-1,0)</f>
        <v>53.8</v>
      </c>
      <c r="G32" s="86">
        <f ca="1">48*OFFSET(G$113,MATCH($N$1,$C$113:$C$114,0)-1,0)</f>
        <v>48</v>
      </c>
      <c r="H32" s="86">
        <f ca="1">59.7*OFFSET(H$113,MATCH($N$1,$C$113:$C$114,0)-1,0)</f>
        <v>59.7</v>
      </c>
      <c r="I32" s="86">
        <f ca="1">53.2*OFFSET(I$113,MATCH($N$1,$C$113:$C$114,0)-1,0)</f>
        <v>53.2</v>
      </c>
      <c r="J32" s="86">
        <f ca="1">72*OFFSET(J$113,MATCH($N$1,$C$113:$C$114,0)-1,0)</f>
        <v>72</v>
      </c>
      <c r="K32" s="86">
        <f ca="1">72.4*OFFSET(K$113,MATCH($N$1,$C$113:$C$114,0)-1,0)</f>
        <v>72.400000000000006</v>
      </c>
      <c r="L32" s="86">
        <f ca="1">56.3*OFFSET(L$113,MATCH($N$1,$C$113:$C$114,0)-1,0)</f>
        <v>56.3</v>
      </c>
      <c r="M32" s="86">
        <f ca="1">51.9*OFFSET(M$113,MATCH($N$1,$C$113:$C$114,0)-1,0)</f>
        <v>51.9</v>
      </c>
      <c r="N32" s="86">
        <v>69.7</v>
      </c>
      <c r="O32" s="84">
        <f t="shared" ca="1" si="0"/>
        <v>0.17142857142857149</v>
      </c>
      <c r="P32" s="84">
        <f t="shared" ca="1" si="1"/>
        <v>-3.1944444444444407E-2</v>
      </c>
    </row>
    <row r="33" spans="1:16" s="78" customFormat="1" ht="18" customHeight="1">
      <c r="A33" s="192"/>
      <c r="B33" s="85" t="s">
        <v>214</v>
      </c>
      <c r="C33" s="86"/>
      <c r="D33" s="86">
        <f ca="1">30*OFFSET(D$113,MATCH($N$1,$C$113:$C$114,0)-1,0)</f>
        <v>30</v>
      </c>
      <c r="E33" s="86">
        <f ca="1">25.6*OFFSET(E$113,MATCH($N$1,$C$113:$C$114,0)-1,0)</f>
        <v>25.6</v>
      </c>
      <c r="F33" s="86">
        <f ca="1">21.2*OFFSET(F$113,MATCH($N$1,$C$113:$C$114,0)-1,0)</f>
        <v>21.2</v>
      </c>
      <c r="G33" s="86">
        <f ca="1">21.4*OFFSET(G$113,MATCH($N$1,$C$113:$C$114,0)-1,0)</f>
        <v>21.4</v>
      </c>
      <c r="H33" s="86">
        <f ca="1">25.9*OFFSET(H$113,MATCH($N$1,$C$113:$C$114,0)-1,0)</f>
        <v>25.9</v>
      </c>
      <c r="I33" s="86">
        <f ca="1">25*OFFSET(I$113,MATCH($N$1,$C$113:$C$114,0)-1,0)</f>
        <v>25</v>
      </c>
      <c r="J33" s="86">
        <f ca="1">20.7*OFFSET(J$113,MATCH($N$1,$C$113:$C$114,0)-1,0)</f>
        <v>20.7</v>
      </c>
      <c r="K33" s="86">
        <f ca="1">23.6*OFFSET(K$113,MATCH($N$1,$C$113:$C$114,0)-1,0)</f>
        <v>23.6</v>
      </c>
      <c r="L33" s="86">
        <f ca="1">17.4*OFFSET(L$113,MATCH($N$1,$C$113:$C$114,0)-1,0)</f>
        <v>17.399999999999999</v>
      </c>
      <c r="M33" s="86">
        <f ca="1">14.7*OFFSET(M$113,MATCH($N$1,$C$113:$C$114,0)-1,0)</f>
        <v>14.7</v>
      </c>
      <c r="N33" s="86">
        <v>21.2</v>
      </c>
      <c r="O33" s="84">
        <f t="shared" ca="1" si="0"/>
        <v>-0.29333333333333333</v>
      </c>
      <c r="P33" s="84">
        <f t="shared" ca="1" si="1"/>
        <v>2.4154589371980676E-2</v>
      </c>
    </row>
    <row r="34" spans="1:16" s="78" customFormat="1" ht="18" customHeight="1">
      <c r="A34" s="192"/>
      <c r="B34" s="85" t="s">
        <v>215</v>
      </c>
      <c r="C34" s="86"/>
      <c r="D34" s="86">
        <f ca="1">120.7*OFFSET(D$113,MATCH($N$1,$C$113:$C$114,0)-1,0)</f>
        <v>120.7</v>
      </c>
      <c r="E34" s="86">
        <f ca="1">97.4*OFFSET(E$113,MATCH($N$1,$C$113:$C$114,0)-1,0)</f>
        <v>97.4</v>
      </c>
      <c r="F34" s="86">
        <f ca="1">102*OFFSET(F$113,MATCH($N$1,$C$113:$C$114,0)-1,0)</f>
        <v>102</v>
      </c>
      <c r="G34" s="86">
        <f ca="1">88*OFFSET(G$113,MATCH($N$1,$C$113:$C$114,0)-1,0)</f>
        <v>88</v>
      </c>
      <c r="H34" s="86">
        <f ca="1">103.6*OFFSET(H$113,MATCH($N$1,$C$113:$C$114,0)-1,0)</f>
        <v>103.6</v>
      </c>
      <c r="I34" s="86">
        <f ca="1">99.4*OFFSET(I$113,MATCH($N$1,$C$113:$C$114,0)-1,0)</f>
        <v>99.4</v>
      </c>
      <c r="J34" s="86">
        <f ca="1">122.6*OFFSET(J$113,MATCH($N$1,$C$113:$C$114,0)-1,0)</f>
        <v>122.6</v>
      </c>
      <c r="K34" s="86">
        <f ca="1">121*OFFSET(K$113,MATCH($N$1,$C$113:$C$114,0)-1,0)</f>
        <v>121</v>
      </c>
      <c r="L34" s="86">
        <f ca="1">88.6*OFFSET(L$113,MATCH($N$1,$C$113:$C$114,0)-1,0)</f>
        <v>88.6</v>
      </c>
      <c r="M34" s="86">
        <f ca="1">86.5*OFFSET(M$113,MATCH($N$1,$C$113:$C$114,0)-1,0)</f>
        <v>86.5</v>
      </c>
      <c r="N34" s="86">
        <v>130.30000000000001</v>
      </c>
      <c r="O34" s="84">
        <f t="shared" ca="1" si="0"/>
        <v>7.9536039768019956E-2</v>
      </c>
      <c r="P34" s="84">
        <f t="shared" ca="1" si="1"/>
        <v>6.2805872756933251E-2</v>
      </c>
    </row>
    <row r="35" spans="1:16" s="78" customFormat="1" ht="18" customHeight="1">
      <c r="A35" s="192"/>
      <c r="B35" s="85" t="s">
        <v>216</v>
      </c>
      <c r="C35" s="86"/>
      <c r="D35" s="86">
        <f ca="1">34.3*OFFSET(D$113,MATCH($N$1,$C$113:$C$114,0)-1,0)</f>
        <v>34.299999999999997</v>
      </c>
      <c r="E35" s="86">
        <f ca="1">20.7*OFFSET(E$113,MATCH($N$1,$C$113:$C$114,0)-1,0)</f>
        <v>20.7</v>
      </c>
      <c r="F35" s="86">
        <f ca="1">25.6*OFFSET(F$113,MATCH($N$1,$C$113:$C$114,0)-1,0)</f>
        <v>25.6</v>
      </c>
      <c r="G35" s="86">
        <f ca="1">47.3*OFFSET(G$113,MATCH($N$1,$C$113:$C$114,0)-1,0)</f>
        <v>47.3</v>
      </c>
      <c r="H35" s="86">
        <f ca="1">43*OFFSET(H$113,MATCH($N$1,$C$113:$C$114,0)-1,0)</f>
        <v>43</v>
      </c>
      <c r="I35" s="86">
        <f ca="1">47.1*OFFSET(I$113,MATCH($N$1,$C$113:$C$114,0)-1,0)</f>
        <v>47.1</v>
      </c>
      <c r="J35" s="86">
        <f ca="1">37.5*OFFSET(J$113,MATCH($N$1,$C$113:$C$114,0)-1,0)</f>
        <v>37.5</v>
      </c>
      <c r="K35" s="86">
        <f ca="1">43.5*OFFSET(K$113,MATCH($N$1,$C$113:$C$114,0)-1,0)</f>
        <v>43.5</v>
      </c>
      <c r="L35" s="86">
        <f ca="1">22.9*OFFSET(L$113,MATCH($N$1,$C$113:$C$114,0)-1,0)</f>
        <v>22.9</v>
      </c>
      <c r="M35" s="86">
        <f ca="1">32.4*OFFSET(M$113,MATCH($N$1,$C$113:$C$114,0)-1,0)</f>
        <v>32.4</v>
      </c>
      <c r="N35" s="86">
        <v>46.7</v>
      </c>
      <c r="O35" s="84">
        <f t="shared" ca="1" si="0"/>
        <v>0.36151603498542295</v>
      </c>
      <c r="P35" s="84">
        <f t="shared" ca="1" si="1"/>
        <v>0.2453333333333334</v>
      </c>
    </row>
    <row r="36" spans="1:16" s="78" customFormat="1" ht="18" customHeight="1">
      <c r="A36" s="192"/>
      <c r="B36" s="85" t="s">
        <v>217</v>
      </c>
      <c r="C36" s="86"/>
      <c r="D36" s="86">
        <f ca="1">155*OFFSET(D$113,MATCH($N$1,$C$113:$C$114,0)-1,0)</f>
        <v>155</v>
      </c>
      <c r="E36" s="86">
        <f ca="1">118.1*OFFSET(E$113,MATCH($N$1,$C$113:$C$114,0)-1,0)</f>
        <v>118.1</v>
      </c>
      <c r="F36" s="86">
        <f ca="1">127.6*OFFSET(F$113,MATCH($N$1,$C$113:$C$114,0)-1,0)</f>
        <v>127.6</v>
      </c>
      <c r="G36" s="86">
        <f ca="1">135.3*OFFSET(G$113,MATCH($N$1,$C$113:$C$114,0)-1,0)</f>
        <v>135.30000000000001</v>
      </c>
      <c r="H36" s="86">
        <f ca="1">146.6*OFFSET(H$113,MATCH($N$1,$C$113:$C$114,0)-1,0)</f>
        <v>146.6</v>
      </c>
      <c r="I36" s="86">
        <f ca="1">146.5*OFFSET(I$113,MATCH($N$1,$C$113:$C$114,0)-1,0)</f>
        <v>146.5</v>
      </c>
      <c r="J36" s="86">
        <f ca="1">160.1*OFFSET(J$113,MATCH($N$1,$C$113:$C$114,0)-1,0)</f>
        <v>160.1</v>
      </c>
      <c r="K36" s="86">
        <f ca="1">164.5*OFFSET(K$113,MATCH($N$1,$C$113:$C$114,0)-1,0)</f>
        <v>164.5</v>
      </c>
      <c r="L36" s="86">
        <f ca="1">111.5*OFFSET(L$113,MATCH($N$1,$C$113:$C$114,0)-1,0)</f>
        <v>111.5</v>
      </c>
      <c r="M36" s="86">
        <f ca="1">118.9*OFFSET(M$113,MATCH($N$1,$C$113:$C$114,0)-1,0)</f>
        <v>118.9</v>
      </c>
      <c r="N36" s="86">
        <v>177</v>
      </c>
      <c r="O36" s="84">
        <f t="shared" ca="1" si="0"/>
        <v>0.14193548387096774</v>
      </c>
      <c r="P36" s="84">
        <f t="shared" ca="1" si="1"/>
        <v>0.10555902560899441</v>
      </c>
    </row>
    <row r="37" spans="1:16" s="78" customFormat="1" ht="18" customHeight="1">
      <c r="A37" s="192"/>
      <c r="B37" s="87" t="s">
        <v>218</v>
      </c>
      <c r="C37" s="88"/>
      <c r="D37" s="88">
        <f ca="1">103.9*OFFSET(D$113,MATCH($N$1,$C$113:$C$114,0)-1,0)</f>
        <v>103.9</v>
      </c>
      <c r="E37" s="88">
        <f ca="1">74.3*OFFSET(E$113,MATCH($N$1,$C$113:$C$114,0)-1,0)</f>
        <v>74.3</v>
      </c>
      <c r="F37" s="88">
        <f ca="1">78.6*OFFSET(F$113,MATCH($N$1,$C$113:$C$114,0)-1,0)</f>
        <v>78.599999999999994</v>
      </c>
      <c r="G37" s="88">
        <f ca="1">82.6*OFFSET(G$113,MATCH($N$1,$C$113:$C$114,0)-1,0)</f>
        <v>82.6</v>
      </c>
      <c r="H37" s="88">
        <f ca="1">101*OFFSET(H$113,MATCH($N$1,$C$113:$C$114,0)-1,0)</f>
        <v>101</v>
      </c>
      <c r="I37" s="88">
        <f ca="1">100.4*OFFSET(I$113,MATCH($N$1,$C$113:$C$114,0)-1,0)</f>
        <v>100.4</v>
      </c>
      <c r="J37" s="88">
        <f ca="1">113.6*OFFSET(J$113,MATCH($N$1,$C$113:$C$114,0)-1,0)</f>
        <v>113.6</v>
      </c>
      <c r="K37" s="88">
        <f ca="1">105*OFFSET(K$113,MATCH($N$1,$C$113:$C$114,0)-1,0)</f>
        <v>105</v>
      </c>
      <c r="L37" s="88">
        <f ca="1">106.9*OFFSET(L$113,MATCH($N$1,$C$113:$C$114,0)-1,0)</f>
        <v>106.9</v>
      </c>
      <c r="M37" s="88">
        <f ca="1">87.2*OFFSET(M$113,MATCH($N$1,$C$113:$C$114,0)-1,0)</f>
        <v>87.2</v>
      </c>
      <c r="N37" s="88">
        <v>106.7</v>
      </c>
      <c r="O37" s="84">
        <f t="shared" ca="1" si="0"/>
        <v>2.6948989412896987E-2</v>
      </c>
      <c r="P37" s="84">
        <f t="shared" ca="1" si="1"/>
        <v>-6.0739436619718236E-2</v>
      </c>
    </row>
    <row r="38" spans="1:16" s="78" customFormat="1" ht="18" customHeight="1">
      <c r="A38" s="192"/>
      <c r="B38" s="87" t="s">
        <v>219</v>
      </c>
      <c r="C38" s="88"/>
      <c r="D38" s="88">
        <f ca="1">44.4*OFFSET(D$113,MATCH($N$1,$C$113:$C$114,0)-1,0)</f>
        <v>44.4</v>
      </c>
      <c r="E38" s="88">
        <f ca="1">31.5*OFFSET(E$113,MATCH($N$1,$C$113:$C$114,0)-1,0)</f>
        <v>31.5</v>
      </c>
      <c r="F38" s="88">
        <f ca="1">24.8*OFFSET(F$113,MATCH($N$1,$C$113:$C$114,0)-1,0)</f>
        <v>24.8</v>
      </c>
      <c r="G38" s="88">
        <f ca="1">34.6*OFFSET(G$113,MATCH($N$1,$C$113:$C$114,0)-1,0)</f>
        <v>34.6</v>
      </c>
      <c r="H38" s="88">
        <f ca="1">41.3*OFFSET(H$113,MATCH($N$1,$C$113:$C$114,0)-1,0)</f>
        <v>41.3</v>
      </c>
      <c r="I38" s="88">
        <f ca="1">47.2*OFFSET(I$113,MATCH($N$1,$C$113:$C$114,0)-1,0)</f>
        <v>47.2</v>
      </c>
      <c r="J38" s="88">
        <f ca="1">41.6*OFFSET(J$113,MATCH($N$1,$C$113:$C$114,0)-1,0)</f>
        <v>41.6</v>
      </c>
      <c r="K38" s="88">
        <f ca="1">32.6*OFFSET(K$113,MATCH($N$1,$C$113:$C$114,0)-1,0)</f>
        <v>32.6</v>
      </c>
      <c r="L38" s="88">
        <f ca="1">50.6*OFFSET(L$113,MATCH($N$1,$C$113:$C$114,0)-1,0)</f>
        <v>50.6</v>
      </c>
      <c r="M38" s="88">
        <f ca="1">35.3*OFFSET(M$113,MATCH($N$1,$C$113:$C$114,0)-1,0)</f>
        <v>35.299999999999997</v>
      </c>
      <c r="N38" s="88">
        <v>37</v>
      </c>
      <c r="O38" s="84">
        <f t="shared" ca="1" si="0"/>
        <v>-0.16666666666666663</v>
      </c>
      <c r="P38" s="84">
        <f t="shared" ca="1" si="1"/>
        <v>-0.1105769230769231</v>
      </c>
    </row>
    <row r="39" spans="1:16" s="78" customFormat="1" ht="18" customHeight="1">
      <c r="A39" s="192"/>
      <c r="B39" s="85" t="s">
        <v>220</v>
      </c>
      <c r="C39" s="86"/>
      <c r="D39" s="86">
        <f ca="1">5.6*OFFSET(D$113,MATCH($N$1,$C$113:$C$114,0)-1,0)</f>
        <v>5.6</v>
      </c>
      <c r="E39" s="86">
        <f ca="1">4.1*OFFSET(E$113,MATCH($N$1,$C$113:$C$114,0)-1,0)</f>
        <v>4.0999999999999996</v>
      </c>
      <c r="F39" s="86">
        <f ca="1">3.4*OFFSET(F$113,MATCH($N$1,$C$113:$C$114,0)-1,0)</f>
        <v>3.4</v>
      </c>
      <c r="G39" s="86">
        <f ca="1">0.6*OFFSET(G$113,MATCH($N$1,$C$113:$C$114,0)-1,0)</f>
        <v>0.6</v>
      </c>
      <c r="H39" s="86">
        <f ca="1">0.7*OFFSET(H$113,MATCH($N$1,$C$113:$C$114,0)-1,0)</f>
        <v>0.7</v>
      </c>
      <c r="I39" s="86">
        <f ca="1">1.5*OFFSET(I$113,MATCH($N$1,$C$113:$C$114,0)-1,0)</f>
        <v>1.5</v>
      </c>
      <c r="J39" s="86">
        <f ca="1">3.1*OFFSET(J$113,MATCH($N$1,$C$113:$C$114,0)-1,0)</f>
        <v>3.1</v>
      </c>
      <c r="K39" s="86">
        <f ca="1">5.2*OFFSET(K$113,MATCH($N$1,$C$113:$C$114,0)-1,0)</f>
        <v>5.2</v>
      </c>
      <c r="L39" s="86">
        <f ca="1">4.5*OFFSET(L$113,MATCH($N$1,$C$113:$C$114,0)-1,0)</f>
        <v>4.5</v>
      </c>
      <c r="M39" s="86">
        <f ca="1">9.4*OFFSET(M$113,MATCH($N$1,$C$113:$C$114,0)-1,0)</f>
        <v>9.4</v>
      </c>
      <c r="N39" s="86"/>
      <c r="O39" s="84" t="str">
        <f t="shared" si="0"/>
        <v/>
      </c>
      <c r="P39" s="84" t="str">
        <f t="shared" si="1"/>
        <v/>
      </c>
    </row>
    <row r="40" spans="1:16" s="78" customFormat="1" ht="18" customHeight="1">
      <c r="A40" s="192"/>
      <c r="B40" s="85" t="s">
        <v>221</v>
      </c>
      <c r="C40" s="86"/>
      <c r="D40" s="86">
        <f ca="1">0.9*OFFSET(D$113,MATCH($N$1,$C$113:$C$114,0)-1,0)</f>
        <v>0.9</v>
      </c>
      <c r="E40" s="86">
        <f ca="1">0.7*OFFSET(E$113,MATCH($N$1,$C$113:$C$114,0)-1,0)</f>
        <v>0.7</v>
      </c>
      <c r="F40" s="86">
        <f ca="1">0.3*OFFSET(F$113,MATCH($N$1,$C$113:$C$114,0)-1,0)</f>
        <v>0.3</v>
      </c>
      <c r="G40" s="86">
        <f ca="1">4.1*OFFSET(G$113,MATCH($N$1,$C$113:$C$114,0)-1,0)</f>
        <v>4.0999999999999996</v>
      </c>
      <c r="H40" s="86">
        <f ca="1">1.5*OFFSET(H$113,MATCH($N$1,$C$113:$C$114,0)-1,0)</f>
        <v>1.5</v>
      </c>
      <c r="I40" s="86">
        <f ca="1">1.2*OFFSET(I$113,MATCH($N$1,$C$113:$C$114,0)-1,0)</f>
        <v>1.2</v>
      </c>
      <c r="J40" s="86">
        <f ca="1">0.2*OFFSET(J$113,MATCH($N$1,$C$113:$C$114,0)-1,0)</f>
        <v>0.2</v>
      </c>
      <c r="K40" s="86">
        <f ca="1">3.8*OFFSET(K$113,MATCH($N$1,$C$113:$C$114,0)-1,0)</f>
        <v>3.8</v>
      </c>
      <c r="L40" s="86">
        <f ca="1">3.3*OFFSET(L$113,MATCH($N$1,$C$113:$C$114,0)-1,0)</f>
        <v>3.3</v>
      </c>
      <c r="M40" s="86">
        <f ca="1">7*OFFSET(M$113,MATCH($N$1,$C$113:$C$114,0)-1,0)</f>
        <v>7</v>
      </c>
      <c r="N40" s="86"/>
      <c r="O40" s="84" t="str">
        <f t="shared" si="0"/>
        <v/>
      </c>
      <c r="P40" s="84" t="str">
        <f t="shared" si="1"/>
        <v/>
      </c>
    </row>
    <row r="41" spans="1:16" s="78" customFormat="1" ht="18" customHeight="1">
      <c r="A41" s="192"/>
      <c r="B41" s="85" t="s">
        <v>222</v>
      </c>
      <c r="C41" s="86"/>
      <c r="D41" s="86">
        <f ca="1">0.2*OFFSET(D$113,MATCH($N$1,$C$113:$C$114,0)-1,0)</f>
        <v>0.2</v>
      </c>
      <c r="E41" s="86">
        <f ca="1">0.2*OFFSET(E$113,MATCH($N$1,$C$113:$C$114,0)-1,0)</f>
        <v>0.2</v>
      </c>
      <c r="F41" s="86">
        <f ca="1">4.3*OFFSET(F$113,MATCH($N$1,$C$113:$C$114,0)-1,0)</f>
        <v>4.3</v>
      </c>
      <c r="G41" s="86">
        <f ca="1">0.4*OFFSET(G$113,MATCH($N$1,$C$113:$C$114,0)-1,0)</f>
        <v>0.4</v>
      </c>
      <c r="H41" s="86">
        <f ca="1">0.4*OFFSET(H$113,MATCH($N$1,$C$113:$C$114,0)-1,0)</f>
        <v>0.4</v>
      </c>
      <c r="I41" s="86">
        <f ca="1">1.4*OFFSET(I$113,MATCH($N$1,$C$113:$C$114,0)-1,0)</f>
        <v>1.4</v>
      </c>
      <c r="J41" s="86">
        <f ca="1">14.2*OFFSET(J$113,MATCH($N$1,$C$113:$C$114,0)-1,0)</f>
        <v>14.2</v>
      </c>
      <c r="K41" s="86">
        <f ca="1">0.5*OFFSET(K$113,MATCH($N$1,$C$113:$C$114,0)-1,0)</f>
        <v>0.5</v>
      </c>
      <c r="L41" s="86">
        <f ca="1">1.9*OFFSET(L$113,MATCH($N$1,$C$113:$C$114,0)-1,0)</f>
        <v>1.9</v>
      </c>
      <c r="M41" s="86">
        <f ca="1">0.2*OFFSET(M$113,MATCH($N$1,$C$113:$C$114,0)-1,0)</f>
        <v>0.2</v>
      </c>
      <c r="N41" s="86"/>
      <c r="O41" s="84" t="str">
        <f t="shared" si="0"/>
        <v/>
      </c>
      <c r="P41" s="84" t="str">
        <f t="shared" si="1"/>
        <v/>
      </c>
    </row>
    <row r="42" spans="1:16" s="78" customFormat="1" ht="18" customHeight="1" thickBot="1">
      <c r="A42" s="193"/>
      <c r="B42" s="89" t="s">
        <v>223</v>
      </c>
      <c r="C42" s="90"/>
      <c r="D42" s="90">
        <f ca="1">37.8*OFFSET(D$113,MATCH($N$1,$C$113:$C$114,0)-1,0)</f>
        <v>37.799999999999997</v>
      </c>
      <c r="E42" s="90">
        <f ca="1">26.5*OFFSET(E$113,MATCH($N$1,$C$113:$C$114,0)-1,0)</f>
        <v>26.5</v>
      </c>
      <c r="F42" s="90">
        <f ca="1">16.8*OFFSET(F$113,MATCH($N$1,$C$113:$C$114,0)-1,0)</f>
        <v>16.8</v>
      </c>
      <c r="G42" s="90">
        <f ca="1">29.5*OFFSET(G$113,MATCH($N$1,$C$113:$C$114,0)-1,0)</f>
        <v>29.5</v>
      </c>
      <c r="H42" s="90">
        <f ca="1">38.6*OFFSET(H$113,MATCH($N$1,$C$113:$C$114,0)-1,0)</f>
        <v>38.6</v>
      </c>
      <c r="I42" s="90">
        <f ca="1">43.1*OFFSET(I$113,MATCH($N$1,$C$113:$C$114,0)-1,0)</f>
        <v>43.1</v>
      </c>
      <c r="J42" s="90">
        <f ca="1">24.2*OFFSET(J$113,MATCH($N$1,$C$113:$C$114,0)-1,0)</f>
        <v>24.2</v>
      </c>
      <c r="K42" s="90">
        <f ca="1">23.1*OFFSET(K$113,MATCH($N$1,$C$113:$C$114,0)-1,0)</f>
        <v>23.1</v>
      </c>
      <c r="L42" s="90">
        <f ca="1">40.8*OFFSET(L$113,MATCH($N$1,$C$113:$C$114,0)-1,0)</f>
        <v>40.799999999999997</v>
      </c>
      <c r="M42" s="90">
        <f ca="1">18.7*OFFSET(M$113,MATCH($N$1,$C$113:$C$114,0)-1,0)</f>
        <v>18.7</v>
      </c>
      <c r="N42" s="90"/>
      <c r="O42" s="91" t="str">
        <f t="shared" si="0"/>
        <v/>
      </c>
      <c r="P42" s="91" t="str">
        <f t="shared" si="1"/>
        <v/>
      </c>
    </row>
    <row r="43" spans="1:16" s="92" customFormat="1">
      <c r="A43" s="77" t="s">
        <v>224</v>
      </c>
      <c r="B43" s="77" t="str">
        <f ca="1">B90</f>
        <v>All values are adjusted to 2022 prices. 2022 fishing income based on provisional data from MMO. 2022 costs and profits are projections.</v>
      </c>
      <c r="P43" s="93" t="str">
        <f>M1</f>
        <v>Version: August 2023</v>
      </c>
    </row>
    <row r="44" spans="1:16" s="92" customFormat="1">
      <c r="B44" s="77" t="s">
        <v>225</v>
      </c>
    </row>
    <row r="45" spans="1:16" s="78" customFormat="1" ht="36.75" customHeight="1">
      <c r="A45" s="92"/>
      <c r="B45" s="194"/>
      <c r="C45" s="194"/>
      <c r="D45" s="94"/>
      <c r="E45" s="95"/>
      <c r="F45" s="95"/>
      <c r="G45" s="95"/>
      <c r="H45" s="95"/>
      <c r="I45" s="88"/>
      <c r="J45" s="88"/>
      <c r="K45" s="88"/>
      <c r="L45" s="88"/>
      <c r="M45" s="88"/>
      <c r="N45" s="96"/>
      <c r="O45" s="96"/>
      <c r="P45" s="96"/>
    </row>
    <row r="46" spans="1:16" s="78" customFormat="1" ht="18" customHeight="1">
      <c r="A46" s="92"/>
      <c r="B46" s="195" t="s">
        <v>226</v>
      </c>
      <c r="C46" s="195"/>
      <c r="D46" s="97" t="s">
        <v>227</v>
      </c>
      <c r="E46" s="98" t="s">
        <v>228</v>
      </c>
      <c r="F46" s="98" t="s">
        <v>229</v>
      </c>
      <c r="G46" s="98" t="s">
        <v>230</v>
      </c>
      <c r="H46" s="98" t="s">
        <v>231</v>
      </c>
      <c r="I46" s="88"/>
      <c r="J46" s="88"/>
      <c r="K46" s="88"/>
      <c r="L46" s="88"/>
      <c r="M46" s="88"/>
      <c r="N46" s="96"/>
      <c r="O46" s="96"/>
      <c r="P46" s="96"/>
    </row>
    <row r="47" spans="1:16" s="78" customFormat="1" ht="33" customHeight="1">
      <c r="A47" s="92"/>
      <c r="B47" s="196" t="s">
        <v>232</v>
      </c>
      <c r="C47" s="197"/>
      <c r="D47" s="97" t="s">
        <v>233</v>
      </c>
      <c r="E47" s="99" t="s">
        <v>160</v>
      </c>
      <c r="F47" s="99" t="s">
        <v>160</v>
      </c>
      <c r="G47" s="99" t="s">
        <v>160</v>
      </c>
      <c r="H47" s="99" t="s">
        <v>157</v>
      </c>
      <c r="I47" s="88"/>
      <c r="J47" s="88"/>
      <c r="K47" s="88"/>
      <c r="L47" s="88"/>
      <c r="M47" s="88"/>
      <c r="N47" s="96"/>
      <c r="O47" s="96"/>
      <c r="P47" s="96"/>
    </row>
    <row r="48" spans="1:16" s="92" customFormat="1" ht="52.5" customHeight="1">
      <c r="A48" s="100" t="s">
        <v>234</v>
      </c>
    </row>
    <row r="49" spans="1:11" s="78" customFormat="1">
      <c r="A49" s="101" t="str">
        <f>$B22&amp;CHAR(10)&amp;$A$1</f>
        <v>Landings per kW day at sea (kg)
Area VIIA nephrops under 250kW</v>
      </c>
      <c r="C49" s="101"/>
      <c r="D49" s="101"/>
      <c r="E49" s="101"/>
      <c r="F49" s="101"/>
      <c r="G49" s="101"/>
      <c r="K49" s="101" t="str">
        <f>$B25&amp;CHAR(10)&amp;$A$1</f>
        <v>Operating profit per kW day at sea (£)
Area VIIA nephrops under 250kW</v>
      </c>
    </row>
    <row r="50" spans="1:11" s="78" customFormat="1">
      <c r="A50" s="101" t="str">
        <f>$B23&amp;CHAR(10)&amp;$A$1</f>
        <v>Fishing income per kW day at sea (£)
Area VIIA nephrops under 250kW</v>
      </c>
    </row>
    <row r="51" spans="1:11" s="78" customFormat="1">
      <c r="A51" s="101" t="str">
        <f>$B21&amp;CHAR(10)&amp;$A$1</f>
        <v>Average price per tonne landed (£)
Area VIIA nephrops under 250kW</v>
      </c>
    </row>
    <row r="52" spans="1:11" s="78" customFormat="1"/>
    <row r="53" spans="1:11" s="78" customFormat="1"/>
    <row r="54" spans="1:11" s="78" customFormat="1"/>
    <row r="55" spans="1:11" s="78" customFormat="1"/>
    <row r="56" spans="1:11" s="78" customFormat="1"/>
    <row r="57" spans="1:11" s="78" customFormat="1"/>
    <row r="58" spans="1:11" s="78" customFormat="1"/>
    <row r="59" spans="1:11" s="78" customFormat="1"/>
    <row r="60" spans="1:11" s="78" customFormat="1"/>
    <row r="61" spans="1:11" s="78" customFormat="1"/>
    <row r="62" spans="1:11" s="78" customFormat="1">
      <c r="A62" s="101"/>
      <c r="C62" s="101"/>
      <c r="D62" s="101"/>
      <c r="E62" s="101"/>
    </row>
    <row r="63" spans="1:11" s="78" customFormat="1">
      <c r="B63" s="101" t="str">
        <f>$B24&amp;CHAR(10)&amp;$A$1</f>
        <v>Total cost per kW day at sea (£)
Area VIIA nephrops under 250kW</v>
      </c>
      <c r="F63" s="101" t="str">
        <f>$B21&amp;CHAR(10)&amp;$A$1</f>
        <v>Average price per tonne landed (£)
Area VIIA nephrops under 250kW</v>
      </c>
      <c r="K63" s="101" t="str">
        <f>"Average annual operating profit per vessel (£'000)"&amp;CHAR(10)&amp;$A$1</f>
        <v>Average annual operating profit per vessel (£'000)
Area VIIA nephrops under 250kW</v>
      </c>
    </row>
    <row r="64" spans="1:11" s="78" customFormat="1"/>
    <row r="65" spans="1:11" s="78" customFormat="1"/>
    <row r="66" spans="1:11" s="78" customFormat="1"/>
    <row r="67" spans="1:11" s="78" customFormat="1"/>
    <row r="68" spans="1:11" s="78" customFormat="1"/>
    <row r="69" spans="1:11" s="78" customFormat="1"/>
    <row r="70" spans="1:11" s="78" customFormat="1"/>
    <row r="71" spans="1:11" s="78" customFormat="1"/>
    <row r="72" spans="1:11" s="78" customFormat="1"/>
    <row r="73" spans="1:11" s="78" customFormat="1"/>
    <row r="74" spans="1:11" s="78" customFormat="1"/>
    <row r="75" spans="1:11" s="101" customFormat="1"/>
    <row r="76" spans="1:11" s="101" customFormat="1"/>
    <row r="77" spans="1:11" s="101" customFormat="1">
      <c r="A77" s="101" t="str">
        <f>"Top 5 landed species by volume in "&amp;A78&amp;CHAR(10)&amp;A1</f>
        <v>Top 5 landed species by volume in 2021
Area VIIA nephrops under 250kW</v>
      </c>
      <c r="F77" s="101" t="str">
        <f>"Top 5 landed species by value in "&amp;A78&amp;CHAR(10)&amp;A1</f>
        <v>Top 5 landed species by value in 2021
Area VIIA nephrops under 250kW</v>
      </c>
    </row>
    <row r="78" spans="1:11" s="101" customFormat="1">
      <c r="A78" s="101">
        <v>2021</v>
      </c>
      <c r="B78" s="101" t="s">
        <v>296</v>
      </c>
      <c r="C78" s="102">
        <v>0.81273365931663832</v>
      </c>
      <c r="D78" s="103">
        <v>12153634</v>
      </c>
      <c r="G78" s="101" t="s">
        <v>297</v>
      </c>
      <c r="H78" s="102">
        <v>0.86817049292833692</v>
      </c>
      <c r="I78" s="103">
        <v>12153634</v>
      </c>
      <c r="K78" s="101" t="s">
        <v>237</v>
      </c>
    </row>
    <row r="79" spans="1:11" s="101" customFormat="1">
      <c r="B79" s="101" t="s">
        <v>298</v>
      </c>
      <c r="C79" s="102">
        <v>5.6074676742212518E-2</v>
      </c>
      <c r="D79" s="103">
        <v>1692097</v>
      </c>
      <c r="G79" s="101" t="s">
        <v>299</v>
      </c>
      <c r="H79" s="102">
        <v>6.403337499281192E-2</v>
      </c>
      <c r="I79" s="103">
        <v>553960</v>
      </c>
    </row>
    <row r="80" spans="1:11" s="101" customFormat="1">
      <c r="B80" s="101" t="s">
        <v>300</v>
      </c>
      <c r="C80" s="102">
        <v>5.4881225525449176E-2</v>
      </c>
      <c r="D80" s="103">
        <v>553960</v>
      </c>
      <c r="G80" s="101" t="s">
        <v>301</v>
      </c>
      <c r="H80" s="102">
        <v>1.449452425413586E-2</v>
      </c>
      <c r="I80" s="103">
        <v>3050596</v>
      </c>
    </row>
    <row r="81" spans="1:19" s="101" customFormat="1">
      <c r="B81" s="101" t="s">
        <v>302</v>
      </c>
      <c r="C81" s="102">
        <v>1.5918550683889657E-2</v>
      </c>
      <c r="D81" s="103">
        <v>3050596</v>
      </c>
      <c r="G81" s="101" t="s">
        <v>303</v>
      </c>
      <c r="H81" s="102">
        <v>8.4015272356598846E-3</v>
      </c>
      <c r="I81" s="103">
        <v>1692097</v>
      </c>
    </row>
    <row r="82" spans="1:19" s="101" customFormat="1">
      <c r="B82" s="101" t="s">
        <v>304</v>
      </c>
      <c r="C82" s="102">
        <v>1.4429898820802643E-2</v>
      </c>
      <c r="D82" s="103">
        <v>11115023</v>
      </c>
      <c r="G82" s="101" t="s">
        <v>288</v>
      </c>
      <c r="H82" s="102">
        <v>7.5113092316006196E-3</v>
      </c>
      <c r="I82" s="103">
        <v>3689192</v>
      </c>
    </row>
    <row r="83" spans="1:19" s="101" customFormat="1">
      <c r="B83" s="101" t="s">
        <v>305</v>
      </c>
      <c r="C83" s="102">
        <v>4.5961988911007667E-2</v>
      </c>
      <c r="D83" s="103">
        <v>5920853</v>
      </c>
      <c r="G83" s="101" t="s">
        <v>306</v>
      </c>
      <c r="H83" s="102">
        <v>3.7388771357454775E-2</v>
      </c>
      <c r="I83" s="103">
        <v>5920853</v>
      </c>
    </row>
    <row r="84" spans="1:19" s="101" customFormat="1"/>
    <row r="85" spans="1:19" s="101" customFormat="1"/>
    <row r="86" spans="1:19" s="101" customFormat="1"/>
    <row r="87" spans="1:19" s="101" customFormat="1"/>
    <row r="88" spans="1:19" s="101" customFormat="1"/>
    <row r="89" spans="1:19" s="101" customFormat="1"/>
    <row r="90" spans="1:19" s="101" customFormat="1">
      <c r="A90" s="104" t="s">
        <v>224</v>
      </c>
      <c r="B90" s="104" t="str">
        <f ca="1">B115&amp;". "&amp;N2&amp;" fishing income based on provisional data from MMO. "&amp;N2&amp;" costs and profits are projections."</f>
        <v>All values are adjusted to 2022 prices. 2022 fishing income based on provisional data from MMO. 2022 costs and profits are projections.</v>
      </c>
      <c r="P90" s="105" t="str">
        <f>P43</f>
        <v>Version: August 2023</v>
      </c>
      <c r="S90" s="101" t="str">
        <f ca="1">B115</f>
        <v>All values are adjusted to 2022 prices</v>
      </c>
    </row>
    <row r="91" spans="1:19" s="106" customFormat="1">
      <c r="B91" s="104" t="s">
        <v>225</v>
      </c>
    </row>
    <row r="92" spans="1:19" s="101" customFormat="1" hidden="1">
      <c r="D92" s="101">
        <v>2013</v>
      </c>
      <c r="E92" s="101">
        <v>2014</v>
      </c>
      <c r="F92" s="101">
        <v>2015</v>
      </c>
      <c r="G92" s="101">
        <v>2016</v>
      </c>
      <c r="H92" s="101">
        <v>2017</v>
      </c>
      <c r="I92" s="101">
        <v>2018</v>
      </c>
      <c r="J92" s="101">
        <v>2019</v>
      </c>
      <c r="K92" s="101">
        <v>2020</v>
      </c>
      <c r="L92" s="101">
        <v>2021</v>
      </c>
      <c r="M92" s="101">
        <v>2022</v>
      </c>
    </row>
    <row r="93" spans="1:19" s="101" customFormat="1" hidden="1">
      <c r="B93" s="101">
        <v>1</v>
      </c>
      <c r="C93" s="101" t="s">
        <v>159</v>
      </c>
      <c r="D93" s="107">
        <v>0.87362223867882838</v>
      </c>
      <c r="E93" s="107">
        <v>0.90305949853469503</v>
      </c>
      <c r="F93" s="107">
        <v>0.90278331713224658</v>
      </c>
      <c r="G93" s="107">
        <v>0.84171029299929701</v>
      </c>
      <c r="H93" s="107">
        <v>0.82702686970524386</v>
      </c>
      <c r="I93" s="107">
        <v>0.83064250311910492</v>
      </c>
      <c r="J93" s="107">
        <v>0.85010786607480737</v>
      </c>
      <c r="K93" s="107">
        <v>0.86580456270638917</v>
      </c>
      <c r="L93" s="107">
        <v>0.86817049292833692</v>
      </c>
      <c r="M93" s="107">
        <v>0.84466947259629421</v>
      </c>
      <c r="O93" s="101">
        <v>12153634</v>
      </c>
    </row>
    <row r="94" spans="1:19" s="101" customFormat="1" hidden="1">
      <c r="B94" s="101">
        <v>2</v>
      </c>
      <c r="C94" s="101" t="s">
        <v>176</v>
      </c>
      <c r="D94" s="107">
        <v>6.2311719672642353E-2</v>
      </c>
      <c r="E94" s="107">
        <v>6.8313504717746706E-2</v>
      </c>
      <c r="F94" s="107">
        <v>6.9062931124094756E-2</v>
      </c>
      <c r="G94" s="107">
        <v>0.1164819723874766</v>
      </c>
      <c r="H94" s="107">
        <v>8.0093271909333422E-2</v>
      </c>
      <c r="I94" s="107">
        <v>0.10175588599698468</v>
      </c>
      <c r="J94" s="107">
        <v>7.6051398273432505E-2</v>
      </c>
      <c r="K94" s="107">
        <v>7.6080037850680432E-2</v>
      </c>
      <c r="L94" s="107">
        <v>6.403337499281192E-2</v>
      </c>
      <c r="M94" s="107">
        <v>9.407221750411035E-2</v>
      </c>
      <c r="O94" s="101">
        <v>553960</v>
      </c>
    </row>
    <row r="95" spans="1:19" s="101" customFormat="1" hidden="1">
      <c r="B95" s="101">
        <v>3</v>
      </c>
      <c r="C95" s="101" t="s">
        <v>161</v>
      </c>
      <c r="D95" s="107">
        <v>9.5638870923398702E-3</v>
      </c>
      <c r="E95" s="107">
        <v>7.1671041442173938E-3</v>
      </c>
      <c r="F95" s="107">
        <v>4.9242666298980799E-3</v>
      </c>
      <c r="G95" s="107">
        <v>9.0240590156490767E-3</v>
      </c>
      <c r="H95" s="107">
        <v>1.6997022166080091E-2</v>
      </c>
      <c r="I95" s="107">
        <v>1.7492875569921903E-2</v>
      </c>
      <c r="J95" s="107">
        <v>1.3740184867891189E-2</v>
      </c>
      <c r="K95" s="107">
        <v>1.3662752300049092E-2</v>
      </c>
      <c r="L95" s="107">
        <v>1.449452425413586E-2</v>
      </c>
      <c r="M95" s="107">
        <v>6.5116442392315925E-3</v>
      </c>
      <c r="O95" s="101">
        <v>3050596</v>
      </c>
    </row>
    <row r="96" spans="1:19" s="101" customFormat="1" hidden="1">
      <c r="B96" s="101">
        <v>4</v>
      </c>
      <c r="C96" s="101" t="s">
        <v>293</v>
      </c>
      <c r="D96" s="107"/>
      <c r="E96" s="107">
        <v>2.9582267272523508E-3</v>
      </c>
      <c r="F96" s="107">
        <v>5.3321319175030383E-3</v>
      </c>
      <c r="G96" s="107"/>
      <c r="H96" s="107"/>
      <c r="I96" s="107"/>
      <c r="J96" s="107"/>
      <c r="K96" s="107">
        <v>5.4188882029209467E-3</v>
      </c>
      <c r="L96" s="107">
        <v>8.4015272356598846E-3</v>
      </c>
      <c r="M96" s="107"/>
      <c r="O96" s="101">
        <v>1692097</v>
      </c>
    </row>
    <row r="97" spans="1:15" s="101" customFormat="1" hidden="1">
      <c r="B97" s="101">
        <v>5</v>
      </c>
      <c r="C97" s="101" t="s">
        <v>175</v>
      </c>
      <c r="D97" s="107"/>
      <c r="E97" s="107"/>
      <c r="F97" s="107"/>
      <c r="G97" s="107"/>
      <c r="H97" s="107"/>
      <c r="I97" s="107"/>
      <c r="J97" s="107"/>
      <c r="K97" s="107"/>
      <c r="L97" s="107">
        <v>7.5113092316006196E-3</v>
      </c>
      <c r="M97" s="107"/>
      <c r="O97" s="101">
        <v>3689192</v>
      </c>
    </row>
    <row r="98" spans="1:15" s="101" customFormat="1" hidden="1">
      <c r="B98" s="101">
        <v>6</v>
      </c>
      <c r="C98" s="101" t="s">
        <v>174</v>
      </c>
      <c r="D98" s="107"/>
      <c r="E98" s="107"/>
      <c r="F98" s="107"/>
      <c r="G98" s="107"/>
      <c r="H98" s="107"/>
      <c r="I98" s="107"/>
      <c r="J98" s="107"/>
      <c r="K98" s="107">
        <v>5.4309247498683221E-3</v>
      </c>
      <c r="L98" s="107"/>
      <c r="M98" s="107">
        <v>1.5755878537443816E-2</v>
      </c>
      <c r="O98" s="101">
        <v>11115023</v>
      </c>
    </row>
    <row r="99" spans="1:15" s="101" customFormat="1" hidden="1">
      <c r="B99" s="101">
        <v>7</v>
      </c>
      <c r="C99" s="101" t="s">
        <v>295</v>
      </c>
      <c r="D99" s="107"/>
      <c r="E99" s="107"/>
      <c r="F99" s="107"/>
      <c r="G99" s="107"/>
      <c r="H99" s="107"/>
      <c r="I99" s="107"/>
      <c r="J99" s="107">
        <v>6.4757286780516314E-3</v>
      </c>
      <c r="K99" s="107"/>
      <c r="L99" s="107"/>
      <c r="M99" s="107">
        <v>8.1164527396432352E-3</v>
      </c>
      <c r="O99" s="101">
        <v>2480382</v>
      </c>
    </row>
    <row r="100" spans="1:15" s="101" customFormat="1" hidden="1">
      <c r="B100" s="101">
        <v>8</v>
      </c>
      <c r="C100" s="101" t="s">
        <v>156</v>
      </c>
      <c r="D100" s="107"/>
      <c r="E100" s="107"/>
      <c r="F100" s="107"/>
      <c r="G100" s="107">
        <v>3.6053523637565093E-3</v>
      </c>
      <c r="H100" s="107">
        <v>1.9701142282666527E-2</v>
      </c>
      <c r="I100" s="107">
        <v>1.1270461610199203E-2</v>
      </c>
      <c r="J100" s="107">
        <v>1.1290873241676436E-2</v>
      </c>
      <c r="K100" s="107"/>
      <c r="L100" s="107"/>
      <c r="M100" s="107"/>
      <c r="O100" s="101">
        <v>7434864</v>
      </c>
    </row>
    <row r="101" spans="1:15" s="101" customFormat="1" hidden="1">
      <c r="B101" s="101">
        <v>9</v>
      </c>
      <c r="C101" s="101" t="s">
        <v>249</v>
      </c>
      <c r="D101" s="107">
        <v>1.533402192904279E-2</v>
      </c>
      <c r="E101" s="107"/>
      <c r="F101" s="107"/>
      <c r="G101" s="107"/>
      <c r="H101" s="107"/>
      <c r="I101" s="107">
        <v>9.138369465403395E-3</v>
      </c>
      <c r="J101" s="107"/>
      <c r="K101" s="107"/>
      <c r="L101" s="107"/>
      <c r="M101" s="107"/>
      <c r="O101" s="101">
        <v>8497745</v>
      </c>
    </row>
    <row r="102" spans="1:15" s="101" customFormat="1" hidden="1">
      <c r="B102" s="101">
        <v>10</v>
      </c>
      <c r="C102" s="101" t="s">
        <v>307</v>
      </c>
      <c r="D102" s="107"/>
      <c r="E102" s="107"/>
      <c r="F102" s="107"/>
      <c r="G102" s="107"/>
      <c r="H102" s="107">
        <v>1.2609506067637E-2</v>
      </c>
      <c r="I102" s="107"/>
      <c r="J102" s="107"/>
      <c r="K102" s="107"/>
      <c r="L102" s="107"/>
      <c r="M102" s="107"/>
      <c r="O102" s="101">
        <v>14393110</v>
      </c>
    </row>
    <row r="103" spans="1:15" s="101" customFormat="1" hidden="1">
      <c r="B103" s="101">
        <v>11</v>
      </c>
      <c r="C103" s="101" t="s">
        <v>182</v>
      </c>
      <c r="D103" s="107"/>
      <c r="E103" s="107"/>
      <c r="F103" s="107"/>
      <c r="G103" s="107">
        <v>6.60897765128593E-3</v>
      </c>
      <c r="H103" s="107"/>
      <c r="I103" s="107"/>
      <c r="J103" s="107"/>
      <c r="K103" s="107"/>
      <c r="L103" s="107"/>
      <c r="M103" s="107"/>
      <c r="O103" s="101">
        <v>2887140</v>
      </c>
    </row>
    <row r="104" spans="1:15" s="101" customFormat="1" hidden="1">
      <c r="B104" s="101">
        <v>12</v>
      </c>
      <c r="C104" s="101" t="s">
        <v>250</v>
      </c>
      <c r="D104" s="107">
        <v>6.2204424265200594E-3</v>
      </c>
      <c r="E104" s="107"/>
      <c r="F104" s="107">
        <v>3.8797037336966785E-3</v>
      </c>
      <c r="G104" s="107"/>
      <c r="H104" s="107"/>
      <c r="I104" s="107"/>
      <c r="J104" s="107"/>
      <c r="K104" s="107"/>
      <c r="L104" s="107"/>
      <c r="M104" s="107"/>
      <c r="O104" s="101">
        <v>15057844</v>
      </c>
    </row>
    <row r="105" spans="1:15" s="101" customFormat="1" hidden="1">
      <c r="B105" s="101">
        <v>13</v>
      </c>
      <c r="C105" s="101" t="s">
        <v>168</v>
      </c>
      <c r="D105" s="107"/>
      <c r="E105" s="107">
        <v>3.8377268953566661E-3</v>
      </c>
      <c r="F105" s="107"/>
      <c r="G105" s="107"/>
      <c r="H105" s="107"/>
      <c r="I105" s="107"/>
      <c r="J105" s="107"/>
      <c r="K105" s="107"/>
      <c r="L105" s="107"/>
      <c r="M105" s="107"/>
      <c r="O105" s="101">
        <v>10603512</v>
      </c>
    </row>
    <row r="106" spans="1:15" s="101" customFormat="1" hidden="1">
      <c r="B106" s="101">
        <v>14</v>
      </c>
      <c r="C106" s="101" t="s">
        <v>251</v>
      </c>
      <c r="D106" s="107">
        <v>3.294769020062658E-2</v>
      </c>
      <c r="E106" s="107">
        <v>1.4663938980731834E-2</v>
      </c>
      <c r="F106" s="107">
        <v>1.4017649462560849E-2</v>
      </c>
      <c r="G106" s="107">
        <v>2.2569345582534924E-2</v>
      </c>
      <c r="H106" s="107">
        <v>4.3572187869039082E-2</v>
      </c>
      <c r="I106" s="107">
        <v>2.9699904238385859E-2</v>
      </c>
      <c r="J106" s="107">
        <v>4.2333948864140832E-2</v>
      </c>
      <c r="K106" s="107">
        <v>3.360283419009201E-2</v>
      </c>
      <c r="L106" s="107">
        <v>3.7388771357454824E-2</v>
      </c>
      <c r="M106" s="107">
        <v>3.0874334383276778E-2</v>
      </c>
      <c r="O106" s="101">
        <v>5920853</v>
      </c>
    </row>
    <row r="107" spans="1:15" s="101" customFormat="1" hidden="1">
      <c r="B107" s="101">
        <v>15</v>
      </c>
      <c r="D107" s="107"/>
      <c r="E107" s="107"/>
      <c r="F107" s="107"/>
      <c r="G107" s="107"/>
      <c r="H107" s="107"/>
      <c r="I107" s="107"/>
      <c r="J107" s="107"/>
      <c r="K107" s="107"/>
      <c r="L107" s="107"/>
      <c r="M107" s="107"/>
      <c r="O107" s="101">
        <v>10479842</v>
      </c>
    </row>
    <row r="108" spans="1:15" s="101" customFormat="1" hidden="1">
      <c r="B108" s="101">
        <v>16</v>
      </c>
      <c r="D108" s="107"/>
      <c r="E108" s="107"/>
      <c r="F108" s="107"/>
      <c r="G108" s="107"/>
      <c r="H108" s="107"/>
      <c r="I108" s="107"/>
      <c r="J108" s="107"/>
      <c r="K108" s="107"/>
      <c r="L108" s="107"/>
      <c r="M108" s="107"/>
      <c r="O108" s="101">
        <v>5920853</v>
      </c>
    </row>
    <row r="109" spans="1:15" s="101" customFormat="1" hidden="1">
      <c r="B109" s="101">
        <v>17</v>
      </c>
      <c r="D109" s="107"/>
      <c r="E109" s="107"/>
      <c r="F109" s="107"/>
      <c r="G109" s="107"/>
      <c r="H109" s="107"/>
      <c r="I109" s="107"/>
      <c r="J109" s="107"/>
      <c r="K109" s="107"/>
      <c r="L109" s="107"/>
      <c r="M109" s="107"/>
      <c r="O109" s="101">
        <v>0</v>
      </c>
    </row>
    <row r="110" spans="1:15" s="101" customFormat="1" hidden="1">
      <c r="B110" s="101">
        <v>18</v>
      </c>
      <c r="D110" s="107"/>
      <c r="E110" s="107"/>
      <c r="F110" s="107"/>
      <c r="G110" s="107"/>
      <c r="H110" s="107"/>
      <c r="I110" s="107"/>
      <c r="J110" s="107"/>
      <c r="K110" s="107"/>
      <c r="L110" s="107"/>
      <c r="M110" s="107"/>
      <c r="O110" s="101">
        <v>0</v>
      </c>
    </row>
    <row r="111" spans="1:15" s="101" customFormat="1" hidden="1">
      <c r="B111" s="101">
        <v>19</v>
      </c>
      <c r="D111" s="107"/>
      <c r="E111" s="107"/>
      <c r="F111" s="107"/>
      <c r="G111" s="107"/>
      <c r="H111" s="107"/>
      <c r="I111" s="107"/>
      <c r="J111" s="107"/>
      <c r="K111" s="107"/>
      <c r="L111" s="107"/>
      <c r="M111" s="107"/>
      <c r="O111" s="101">
        <v>0</v>
      </c>
    </row>
    <row r="112" spans="1:15" s="101" customFormat="1" hidden="1">
      <c r="A112" s="101">
        <v>15</v>
      </c>
      <c r="B112" s="101">
        <v>20</v>
      </c>
      <c r="D112" s="107"/>
      <c r="E112" s="107"/>
      <c r="F112" s="107"/>
      <c r="G112" s="107"/>
      <c r="H112" s="107"/>
      <c r="I112" s="107"/>
      <c r="J112" s="107"/>
      <c r="K112" s="107"/>
      <c r="L112" s="107"/>
      <c r="M112" s="107"/>
      <c r="O112" s="101">
        <v>0</v>
      </c>
    </row>
    <row r="113" spans="1:15" s="101" customFormat="1" hidden="1">
      <c r="A113" s="101" t="s">
        <v>252</v>
      </c>
      <c r="C113" s="108" t="s">
        <v>184</v>
      </c>
      <c r="D113" s="109">
        <v>1</v>
      </c>
      <c r="E113" s="109">
        <v>1</v>
      </c>
      <c r="F113" s="109">
        <v>1</v>
      </c>
      <c r="G113" s="109">
        <v>1</v>
      </c>
      <c r="H113" s="109">
        <v>1</v>
      </c>
      <c r="I113" s="109">
        <v>1</v>
      </c>
      <c r="J113" s="109">
        <v>1</v>
      </c>
      <c r="K113" s="109">
        <v>1</v>
      </c>
      <c r="L113" s="109">
        <v>1</v>
      </c>
      <c r="M113" s="109">
        <v>1</v>
      </c>
      <c r="N113" s="109">
        <v>1</v>
      </c>
      <c r="O113" s="109"/>
    </row>
    <row r="114" spans="1:15" s="101" customFormat="1" hidden="1">
      <c r="A114" s="101" t="s">
        <v>253</v>
      </c>
      <c r="C114" s="108" t="s">
        <v>254</v>
      </c>
      <c r="D114" s="110">
        <v>0.79988927446720337</v>
      </c>
      <c r="E114" s="110">
        <v>0.81724684669488967</v>
      </c>
      <c r="F114" s="110">
        <v>0.82770765756760523</v>
      </c>
      <c r="G114" s="110">
        <v>0.83358435981547541</v>
      </c>
      <c r="H114" s="110">
        <v>0.84925572886287903</v>
      </c>
      <c r="I114" s="110">
        <v>0.86445741676471866</v>
      </c>
      <c r="J114" s="110">
        <v>0.87949903525560191</v>
      </c>
      <c r="K114" s="110">
        <v>0.89805639492816958</v>
      </c>
      <c r="L114" s="110">
        <v>0.95337669491702437</v>
      </c>
      <c r="M114" s="110">
        <v>0.95156526741853187</v>
      </c>
      <c r="N114" s="110">
        <v>1</v>
      </c>
      <c r="O114" s="109"/>
    </row>
    <row r="115" spans="1:15" s="106" customFormat="1">
      <c r="B115" s="106" t="str">
        <f ca="1">"All values are "&amp;OFFSET($A$112,MATCH($N$1,$C$113:$C$114,0),0)</f>
        <v>All values are adjusted to 2022 prices</v>
      </c>
      <c r="F115" s="106" t="str">
        <f ca="1">S90&amp;". "&amp;B161&amp;""</f>
        <v>All values are adjusted to 2022 prices. Quartiles are based on operating profit margin.</v>
      </c>
    </row>
    <row r="116" spans="1:15" s="112" customFormat="1" ht="34.5" customHeight="1">
      <c r="A116" s="111" t="s">
        <v>48</v>
      </c>
    </row>
    <row r="117" spans="1:15" s="113" customFormat="1" ht="15" customHeight="1"/>
    <row r="118" spans="1:15" s="49" customFormat="1"/>
    <row r="119" spans="1:15" ht="18" customHeight="1" thickBot="1"/>
    <row r="120" spans="1:15" ht="39.6" thickBot="1">
      <c r="A120" s="22"/>
      <c r="B120" s="23" t="s">
        <v>186</v>
      </c>
      <c r="C120" s="50" t="s">
        <v>255</v>
      </c>
      <c r="D120" s="50" t="s">
        <v>256</v>
      </c>
      <c r="E120" s="50" t="s">
        <v>257</v>
      </c>
      <c r="F120" s="51" t="s">
        <v>258</v>
      </c>
    </row>
    <row r="121" spans="1:15" s="52" customFormat="1" ht="18" customHeight="1">
      <c r="B121" s="52" t="s">
        <v>189</v>
      </c>
      <c r="C121" s="52">
        <v>8</v>
      </c>
      <c r="D121" s="52">
        <v>14</v>
      </c>
      <c r="E121" s="52">
        <v>8</v>
      </c>
      <c r="F121" s="53">
        <v>30</v>
      </c>
    </row>
    <row r="122" spans="1:15" ht="18" customHeight="1">
      <c r="A122" s="186" t="s">
        <v>198</v>
      </c>
      <c r="B122" s="35" t="s">
        <v>199</v>
      </c>
      <c r="C122" s="54">
        <v>14.795000076293945</v>
      </c>
      <c r="D122" s="54">
        <v>14.12999963760376</v>
      </c>
      <c r="E122" s="54">
        <v>14.654999732971191</v>
      </c>
      <c r="F122" s="55">
        <v>14.447333335876465</v>
      </c>
    </row>
    <row r="123" spans="1:15" ht="18" customHeight="1">
      <c r="A123" s="187"/>
      <c r="B123" s="37" t="s">
        <v>190</v>
      </c>
      <c r="C123" s="56">
        <v>187.375</v>
      </c>
      <c r="D123" s="56">
        <v>179</v>
      </c>
      <c r="E123" s="56">
        <v>150</v>
      </c>
      <c r="F123" s="57">
        <v>173.5</v>
      </c>
    </row>
    <row r="124" spans="1:15" ht="18" customHeight="1">
      <c r="A124" s="187"/>
      <c r="B124" s="37" t="s">
        <v>191</v>
      </c>
      <c r="C124" s="56">
        <v>48.375</v>
      </c>
      <c r="D124" s="56">
        <v>36.857142448425293</v>
      </c>
      <c r="E124" s="56">
        <v>40.25</v>
      </c>
      <c r="F124" s="57">
        <v>40.833332061767578</v>
      </c>
    </row>
    <row r="125" spans="1:15" ht="18" customHeight="1">
      <c r="A125" s="187"/>
      <c r="B125" s="37" t="s">
        <v>192</v>
      </c>
      <c r="C125" s="56">
        <v>164.62393188476563</v>
      </c>
      <c r="D125" s="56">
        <v>154.27969360351563</v>
      </c>
      <c r="E125" s="56">
        <v>142.66705322265625</v>
      </c>
      <c r="F125" s="57">
        <v>153.94145202636719</v>
      </c>
    </row>
    <row r="126" spans="1:15" ht="18" customHeight="1">
      <c r="A126" s="187"/>
      <c r="B126" s="37" t="s">
        <v>193</v>
      </c>
      <c r="C126" s="33">
        <v>124.97979736328125</v>
      </c>
      <c r="D126" s="33">
        <v>78.544815063476563</v>
      </c>
      <c r="E126" s="33">
        <v>31.767549514770508</v>
      </c>
      <c r="F126" s="58">
        <v>78.453536987304688</v>
      </c>
    </row>
    <row r="127" spans="1:15" ht="18" customHeight="1">
      <c r="A127" s="187"/>
      <c r="B127" s="37" t="s">
        <v>200</v>
      </c>
      <c r="C127" s="33">
        <f ca="1">226.169515625*OFFSET($L$113,MATCH($N$1,$C$113:$C$114,0)-1,0)</f>
        <v>226.169515625</v>
      </c>
      <c r="D127" s="33">
        <f ca="1">152.0634140625*OFFSET($L$113,MATCH($N$1,$C$113:$C$114,0)-1,0)</f>
        <v>152.06341406249999</v>
      </c>
      <c r="E127" s="33">
        <f ca="1">65.1079453125*OFFSET($L$113,MATCH($N$1,$C$113:$C$114,0)-1,0)</f>
        <v>65.107945312499993</v>
      </c>
      <c r="F127" s="58">
        <f ca="1">148.636921875*OFFSET($L$113,MATCH($N$1,$C$113:$C$114,0)-1,0)</f>
        <v>148.63692187500001</v>
      </c>
    </row>
    <row r="128" spans="1:15" ht="18" customHeight="1">
      <c r="A128" s="187"/>
      <c r="B128" s="37" t="s">
        <v>195</v>
      </c>
      <c r="C128" s="56">
        <v>129.5</v>
      </c>
      <c r="D128" s="56">
        <v>128.07143020629883</v>
      </c>
      <c r="E128" s="56">
        <v>91.75</v>
      </c>
      <c r="F128" s="57">
        <v>118.76667022705078</v>
      </c>
    </row>
    <row r="129" spans="1:15" ht="18" customHeight="1">
      <c r="A129" s="187"/>
      <c r="B129" s="37" t="s">
        <v>201</v>
      </c>
      <c r="C129" s="56">
        <v>35.375</v>
      </c>
      <c r="D129" s="56">
        <v>41</v>
      </c>
      <c r="E129" s="56">
        <v>51.375</v>
      </c>
      <c r="F129" s="57">
        <v>42.266666412353516</v>
      </c>
    </row>
    <row r="130" spans="1:15" ht="18" customHeight="1">
      <c r="A130" s="187"/>
      <c r="B130" s="37" t="s">
        <v>202</v>
      </c>
      <c r="C130" s="59">
        <v>0.96509498357772827</v>
      </c>
      <c r="D130" s="59">
        <v>0.61328912261661894</v>
      </c>
      <c r="E130" s="59">
        <v>0.34624031186103821</v>
      </c>
      <c r="F130" s="60">
        <v>0.66056865453720093</v>
      </c>
    </row>
    <row r="131" spans="1:15" ht="18" customHeight="1">
      <c r="A131" s="188"/>
      <c r="B131" s="39" t="s">
        <v>203</v>
      </c>
      <c r="C131" s="40">
        <f ca="1">1809.64860238642*OFFSET($L$113,MATCH($N$1,$C$113:$C$114,0)-1,0)</f>
        <v>1809.64860238642</v>
      </c>
      <c r="D131" s="40">
        <f ca="1">1936.00830226169*OFFSET($L$113,MATCH($N$1,$C$113:$C$114,0)-1,0)</f>
        <v>1936.00830226169</v>
      </c>
      <c r="E131" s="40">
        <f ca="1">2049.51109880942*OFFSET($L$113,MATCH($N$1,$C$113:$C$114,0)-1,0)</f>
        <v>2049.5110988094202</v>
      </c>
      <c r="F131" s="61">
        <f ca="1">1895*OFFSET($L$113,MATCH($N$1,$C$113:$C$114,0)-1,0)</f>
        <v>1895</v>
      </c>
    </row>
    <row r="132" spans="1:15" ht="18" customHeight="1">
      <c r="A132" s="198" t="s">
        <v>204</v>
      </c>
      <c r="B132" s="35" t="s">
        <v>205</v>
      </c>
      <c r="C132" s="62">
        <v>4.9329911532545729</v>
      </c>
      <c r="D132" s="62">
        <v>3.2606672318146206</v>
      </c>
      <c r="E132" s="62">
        <v>2.2800426699278149</v>
      </c>
      <c r="F132" s="63">
        <v>3.6132223505791354</v>
      </c>
    </row>
    <row r="133" spans="1:15" ht="18" customHeight="1">
      <c r="A133" s="199"/>
      <c r="B133" s="37" t="s">
        <v>206</v>
      </c>
      <c r="C133" s="59">
        <f ca="1">8.92698054607172*OFFSET($L$113,MATCH($N$1,$C$113:$C$114,0)-1,0)</f>
        <v>8.9269805460717198</v>
      </c>
      <c r="D133" s="59">
        <f ca="1">6.31267883170576*OFFSET($L$113,MATCH($N$1,$C$113:$C$114,0)-1,0)</f>
        <v>6.3126788317057603</v>
      </c>
      <c r="E133" s="59">
        <f ca="1">4.67297275777612*OFFSET($L$113,MATCH($N$1,$C$113:$C$114,0)-1,0)</f>
        <v>4.6729727577761198</v>
      </c>
      <c r="F133" s="60">
        <f ca="1">6.84555813368799*OFFSET($L$113,MATCH($N$1,$C$113:$C$114,0)-1,0)</f>
        <v>6.84555813368799</v>
      </c>
    </row>
    <row r="134" spans="1:15" ht="18" customHeight="1">
      <c r="A134" s="199"/>
      <c r="B134" s="37" t="s">
        <v>153</v>
      </c>
      <c r="C134" s="59">
        <f ca="1">6.28654148822798*OFFSET($L$113,MATCH($N$1,$C$113:$C$114,0)-1,0)</f>
        <v>6.2865414882279804</v>
      </c>
      <c r="D134" s="59">
        <f ca="1">4.95456217749786*OFFSET($L$113,MATCH($N$1,$C$113:$C$114,0)-1,0)</f>
        <v>4.9545621774978601</v>
      </c>
      <c r="E134" s="59">
        <f ca="1">4.0731765389636*OFFSET($L$113,MATCH($N$1,$C$113:$C$114,0)-1,0)</f>
        <v>4.0731765389636001</v>
      </c>
      <c r="F134" s="60">
        <f ca="1">5.21819824674002*OFFSET($L$113,MATCH($N$1,$C$113:$C$114,0)-1,0)</f>
        <v>5.2181982467400196</v>
      </c>
    </row>
    <row r="135" spans="1:15" ht="18" customHeight="1">
      <c r="A135" s="200"/>
      <c r="B135" s="39" t="s">
        <v>154</v>
      </c>
      <c r="C135" s="64">
        <f ca="1">2.64043905784374*OFFSET($L$113,MATCH($N$1,$C$113:$C$114,0)-1,0)</f>
        <v>2.6404390578437398</v>
      </c>
      <c r="D135" s="64">
        <f ca="1">1.3581166542079*OFFSET($L$113,MATCH($N$1,$C$113:$C$114,0)-1,0)</f>
        <v>1.3581166542079</v>
      </c>
      <c r="E135" s="64">
        <f ca="1">0.599796218812521*OFFSET($L$113,MATCH($N$1,$C$113:$C$114,0)-1,0)</f>
        <v>0.59979621881252099</v>
      </c>
      <c r="F135" s="65">
        <f ca="1">1.62735988694797*OFFSET($L$113,MATCH($N$1,$C$113:$C$114,0)-1,0)</f>
        <v>1.62735988694797</v>
      </c>
    </row>
    <row r="136" spans="1:15" ht="18" customHeight="1">
      <c r="A136" s="201" t="s">
        <v>260</v>
      </c>
      <c r="B136" s="37" t="s">
        <v>261</v>
      </c>
      <c r="C136" s="66">
        <f ca="1">20.763998046875*OFFSET($L$113,MATCH($N$1,$C$113:$C$114,0)-1,0)</f>
        <v>20.763998046874999</v>
      </c>
      <c r="D136" s="66">
        <f ca="1">23.1524814453125*OFFSET($L$113,MATCH($N$1,$C$113:$C$114,0)-1,0)</f>
        <v>23.1524814453125</v>
      </c>
      <c r="E136" s="66">
        <f ca="1">13.3734140625*OFFSET($L$113,MATCH($N$1,$C$113:$C$114,0)-1,0)</f>
        <v>13.3734140625</v>
      </c>
      <c r="F136" s="67">
        <f ca="1">19.90780078125*OFFSET($L$113,MATCH($N$1,$C$113:$C$114,0)-1,0)</f>
        <v>19.90780078125</v>
      </c>
    </row>
    <row r="137" spans="1:15" ht="18" customHeight="1">
      <c r="A137" s="202"/>
      <c r="B137" s="37" t="s">
        <v>262</v>
      </c>
      <c r="C137" s="31">
        <v>44698.750045776367</v>
      </c>
      <c r="D137" s="31">
        <v>49126.428345833905</v>
      </c>
      <c r="E137" s="31">
        <v>29080.001220703125</v>
      </c>
      <c r="F137" s="68">
        <v>42600</v>
      </c>
    </row>
    <row r="138" spans="1:15" ht="18" customHeight="1">
      <c r="A138" s="202"/>
      <c r="B138" s="37" t="s">
        <v>263</v>
      </c>
      <c r="C138" s="31">
        <v>345.16409301757813</v>
      </c>
      <c r="D138" s="31">
        <v>383.58616177472624</v>
      </c>
      <c r="E138" s="31">
        <v>316.9482421875</v>
      </c>
      <c r="F138" s="68">
        <v>358.68649291992188</v>
      </c>
    </row>
    <row r="139" spans="1:15" ht="18" customHeight="1">
      <c r="A139" s="202"/>
      <c r="B139" s="37" t="s">
        <v>264</v>
      </c>
      <c r="C139" s="31">
        <f ca="1">160.339753257722*OFFSET($L$113,MATCH($N$1,$C$113:$C$114,0)-1,0)</f>
        <v>160.33975325772201</v>
      </c>
      <c r="D139" s="31">
        <f ca="1">180.777878469993*OFFSET($L$113,MATCH($N$1,$C$113:$C$114,0)-1,0)</f>
        <v>180.777878469993</v>
      </c>
      <c r="E139" s="31">
        <f ca="1">145.75928133515*OFFSET($L$113,MATCH($N$1,$C$113:$C$114,0)-1,0)</f>
        <v>145.75928133515001</v>
      </c>
      <c r="F139" s="68">
        <f ca="1">167.621107362794*OFFSET($L$113,MATCH($N$1,$C$113:$C$114,0)-1,0)</f>
        <v>167.62110736279399</v>
      </c>
      <c r="I139" s="43"/>
      <c r="L139" s="69" t="str">
        <f>C120</f>
        <v>Most
profitable
quartile</v>
      </c>
      <c r="M139" s="69" t="str">
        <f>D120</f>
        <v>Middle
two quartiles</v>
      </c>
      <c r="N139" s="69" t="str">
        <f>E120</f>
        <v>Least
profitable
quartile</v>
      </c>
      <c r="O139" s="69"/>
    </row>
    <row r="140" spans="1:15" ht="18" customHeight="1">
      <c r="A140" s="202"/>
      <c r="B140" s="37" t="s">
        <v>265</v>
      </c>
      <c r="C140" s="31">
        <f ca="1">166.138835915375*OFFSET($L$113,MATCH($N$1,$C$113:$C$114,0)-1,0)</f>
        <v>166.13883591537501</v>
      </c>
      <c r="D140" s="31">
        <f ca="1">294.767788638902*OFFSET($L$113,MATCH($N$1,$C$113:$C$114,0)-1,0)</f>
        <v>294.767788638902</v>
      </c>
      <c r="E140" s="31">
        <f ca="1">420.977200532322*OFFSET($L$113,MATCH($N$1,$C$113:$C$114,0)-1,0)</f>
        <v>420.977200532322</v>
      </c>
      <c r="F140" s="68">
        <f ca="1">253.752750299473*OFFSET($L$113,MATCH($N$1,$C$113:$C$114,0)-1,0)</f>
        <v>253.75275029947301</v>
      </c>
      <c r="I140" s="43"/>
      <c r="K140" s="69" t="s">
        <v>266</v>
      </c>
      <c r="L140" s="70">
        <f t="shared" ref="L140:M142" ca="1" si="2">C141</f>
        <v>238.34446875</v>
      </c>
      <c r="M140" s="70">
        <f t="shared" ca="1" si="2"/>
        <v>157.17859375</v>
      </c>
      <c r="N140" s="70">
        <f ca="1">E141</f>
        <v>65.107945312499993</v>
      </c>
      <c r="O140" s="70"/>
    </row>
    <row r="141" spans="1:15" ht="18" customHeight="1">
      <c r="A141" s="179" t="s">
        <v>267</v>
      </c>
      <c r="B141" s="35" t="s">
        <v>268</v>
      </c>
      <c r="C141" s="71">
        <f ca="1">238.34446875*OFFSET($L$113,MATCH($N$1,$C$113:$C$114,0)-1,0)</f>
        <v>238.34446875</v>
      </c>
      <c r="D141" s="71">
        <f ca="1">157.17859375*OFFSET($L$113,MATCH($N$1,$C$113:$C$114,0)-1,0)</f>
        <v>157.17859375</v>
      </c>
      <c r="E141" s="71">
        <f ca="1">65.1079453125*OFFSET($L$113,MATCH($N$1,$C$113:$C$114,0)-1,0)</f>
        <v>65.107945312499993</v>
      </c>
      <c r="F141" s="72">
        <f ca="1">154.27065625*OFFSET($L$113,MATCH($N$1,$C$113:$C$114,0)-1,0)</f>
        <v>154.27065625</v>
      </c>
      <c r="I141" s="43"/>
      <c r="K141" s="69" t="s">
        <v>269</v>
      </c>
      <c r="L141" s="70">
        <f t="shared" ca="1" si="2"/>
        <v>171.44760937500001</v>
      </c>
      <c r="M141" s="70">
        <f t="shared" ca="1" si="2"/>
        <v>124.46350390625</v>
      </c>
      <c r="N141" s="70">
        <f ca="1">E142</f>
        <v>56.751058593750003</v>
      </c>
      <c r="O141" s="70"/>
    </row>
    <row r="142" spans="1:15" ht="18" customHeight="1">
      <c r="A142" s="180"/>
      <c r="B142" s="37" t="s">
        <v>270</v>
      </c>
      <c r="C142" s="31">
        <f ca="1">171.447609375*OFFSET($L$113,MATCH($N$1,$C$113:$C$114,0)-1,0)</f>
        <v>171.44760937500001</v>
      </c>
      <c r="D142" s="31">
        <f ca="1">124.46350390625*OFFSET($L$113,MATCH($N$1,$C$113:$C$114,0)-1,0)</f>
        <v>124.46350390625</v>
      </c>
      <c r="E142" s="31">
        <f ca="1">56.75105859375*OFFSET($L$113,MATCH($N$1,$C$113:$C$114,0)-1,0)</f>
        <v>56.751058593750003</v>
      </c>
      <c r="F142" s="68">
        <f ca="1">118.9359453125*OFFSET($L$113,MATCH($N$1,$C$113:$C$114,0)-1,0)</f>
        <v>118.9359453125</v>
      </c>
      <c r="I142" s="43"/>
      <c r="K142" s="69" t="s">
        <v>271</v>
      </c>
      <c r="L142" s="70">
        <f t="shared" ca="1" si="2"/>
        <v>66.896859375000005</v>
      </c>
      <c r="M142" s="70">
        <f t="shared" ca="1" si="2"/>
        <v>32.71508984375</v>
      </c>
      <c r="N142" s="70">
        <f ca="1">E143</f>
        <v>8.3568867187499993</v>
      </c>
      <c r="O142" s="70"/>
    </row>
    <row r="143" spans="1:15" ht="18" customHeight="1">
      <c r="A143" s="181"/>
      <c r="B143" s="39" t="s">
        <v>272</v>
      </c>
      <c r="C143" s="40">
        <f ca="1">66.896859375*OFFSET($L$113,MATCH($N$1,$C$113:$C$114,0)-1,0)</f>
        <v>66.896859375000005</v>
      </c>
      <c r="D143" s="40">
        <f ca="1">32.71508984375*OFFSET($L$113,MATCH($N$1,$C$113:$C$114,0)-1,0)</f>
        <v>32.71508984375</v>
      </c>
      <c r="E143" s="40">
        <f ca="1">8.35688671875*OFFSET($L$113,MATCH($N$1,$C$113:$C$114,0)-1,0)</f>
        <v>8.3568867187499993</v>
      </c>
      <c r="F143" s="61">
        <f ca="1">35.334703125*OFFSET($L$113,MATCH($N$1,$C$113:$C$114,0)-1,0)</f>
        <v>35.334703124999997</v>
      </c>
      <c r="I143" s="43"/>
      <c r="K143" s="69" t="s">
        <v>273</v>
      </c>
      <c r="L143" s="73">
        <f ca="1">IFERROR(L141/L$140,"")</f>
        <v>0.71932699036045922</v>
      </c>
      <c r="M143" s="73">
        <f t="shared" ref="M143:N144" ca="1" si="3">IFERROR(M141/M$140,"")</f>
        <v>0.79186039865081814</v>
      </c>
      <c r="N143" s="73">
        <f t="shared" ca="1" si="3"/>
        <v>0.87164566968533164</v>
      </c>
      <c r="O143" s="73"/>
    </row>
    <row r="144" spans="1:15" ht="18" customHeight="1">
      <c r="I144" s="43"/>
      <c r="K144" s="69" t="s">
        <v>274</v>
      </c>
      <c r="L144" s="73">
        <f ca="1">IFERROR(L142/L$140,"")</f>
        <v>0.28067300963954089</v>
      </c>
      <c r="M144" s="73">
        <f t="shared" ca="1" si="3"/>
        <v>0.2081396013491818</v>
      </c>
      <c r="N144" s="73">
        <f t="shared" ca="1" si="3"/>
        <v>0.12835433031466853</v>
      </c>
      <c r="O144" s="73"/>
    </row>
    <row r="145" spans="1:19" ht="18" customHeight="1">
      <c r="I145" s="43"/>
    </row>
    <row r="146" spans="1:19" ht="18" customHeight="1">
      <c r="I146" s="43"/>
    </row>
    <row r="147" spans="1:19" ht="18" customHeight="1">
      <c r="I147" s="43"/>
    </row>
    <row r="148" spans="1:19" ht="18" customHeight="1">
      <c r="I148" s="43"/>
    </row>
    <row r="149" spans="1:19" ht="18" customHeight="1">
      <c r="I149" s="43"/>
    </row>
    <row r="150" spans="1:19" ht="18" customHeight="1">
      <c r="I150" s="43"/>
    </row>
    <row r="151" spans="1:19" ht="18" customHeight="1">
      <c r="I151" s="43"/>
      <c r="J151" s="43"/>
      <c r="K151" s="43"/>
      <c r="L151" s="43"/>
      <c r="M151" s="43"/>
      <c r="N151" s="43"/>
      <c r="O151" s="43"/>
      <c r="P151" s="43"/>
    </row>
    <row r="152" spans="1:19" ht="18" customHeight="1">
      <c r="I152" s="43"/>
      <c r="J152" s="43"/>
      <c r="K152" s="43"/>
      <c r="L152" s="43"/>
      <c r="M152" s="43"/>
      <c r="N152" s="43"/>
      <c r="O152" s="43"/>
      <c r="P152" s="43"/>
    </row>
    <row r="153" spans="1:19" ht="18" customHeight="1">
      <c r="A153" s="45" t="s">
        <v>224</v>
      </c>
      <c r="B153" s="45" t="str">
        <f ca="1">F115</f>
        <v>All values are adjusted to 2022 prices. Quartiles are based on operating profit margin.</v>
      </c>
      <c r="P153" s="46" t="str">
        <f>P90</f>
        <v>Version: August 2023</v>
      </c>
    </row>
    <row r="154" spans="1:19" ht="18" customHeight="1">
      <c r="A154" s="43"/>
      <c r="B154" s="45" t="s">
        <v>225</v>
      </c>
    </row>
    <row r="155" spans="1:19" ht="18" customHeight="1"/>
    <row r="156" spans="1:19" ht="18" customHeight="1"/>
    <row r="157" spans="1:19" ht="18" customHeight="1"/>
    <row r="158" spans="1:19" s="47" customFormat="1" ht="18" customHeight="1"/>
    <row r="159" spans="1:19" s="47" customFormat="1" ht="18" customHeight="1">
      <c r="A159" s="43"/>
      <c r="B159" s="43"/>
      <c r="C159" s="43"/>
      <c r="D159" s="43"/>
      <c r="E159" s="43"/>
      <c r="F159" s="43"/>
      <c r="G159" s="43"/>
      <c r="H159" s="43"/>
      <c r="I159" s="43"/>
      <c r="J159" s="43"/>
      <c r="K159" s="43"/>
      <c r="L159" s="43"/>
      <c r="M159" s="43"/>
      <c r="N159" s="43"/>
      <c r="O159" s="43"/>
      <c r="P159" s="43"/>
      <c r="Q159" s="43"/>
    </row>
    <row r="160" spans="1:19" s="47" customFormat="1">
      <c r="A160" s="43"/>
      <c r="B160" s="43"/>
      <c r="C160" s="43"/>
      <c r="D160" s="43"/>
      <c r="E160" s="43"/>
      <c r="F160" s="43"/>
      <c r="G160" s="43"/>
      <c r="H160" s="43"/>
      <c r="I160" s="43"/>
      <c r="J160" s="43"/>
      <c r="K160" s="43"/>
      <c r="L160" s="43"/>
      <c r="M160" s="43"/>
      <c r="N160" s="43"/>
      <c r="O160" s="43"/>
      <c r="P160" s="43"/>
      <c r="Q160" s="43"/>
      <c r="R160" s="21"/>
      <c r="S160" s="21"/>
    </row>
    <row r="161" spans="1:19" s="43" customFormat="1">
      <c r="B161" s="43" t="s">
        <v>275</v>
      </c>
      <c r="R161" s="21"/>
      <c r="S161" s="21"/>
    </row>
    <row r="162" spans="1:19" s="43" customFormat="1" ht="43.5">
      <c r="A162" s="44">
        <v>10</v>
      </c>
      <c r="B162" s="48"/>
      <c r="C162" s="74" t="s">
        <v>255</v>
      </c>
      <c r="D162" s="74" t="s">
        <v>276</v>
      </c>
      <c r="E162" s="74" t="s">
        <v>257</v>
      </c>
      <c r="F162" s="74" t="s">
        <v>277</v>
      </c>
      <c r="G162" s="75">
        <v>11</v>
      </c>
      <c r="H162" s="74"/>
      <c r="I162" s="74" t="s">
        <v>255</v>
      </c>
      <c r="J162" s="74" t="s">
        <v>276</v>
      </c>
      <c r="K162" s="74" t="s">
        <v>257</v>
      </c>
      <c r="L162" s="48" t="s">
        <v>277</v>
      </c>
      <c r="R162" s="21"/>
      <c r="S162" s="21"/>
    </row>
    <row r="163" spans="1:19" s="43" customFormat="1">
      <c r="A163" s="44">
        <v>1</v>
      </c>
      <c r="B163" s="48" t="s">
        <v>159</v>
      </c>
      <c r="C163" s="48">
        <v>0.86378407594196127</v>
      </c>
      <c r="D163" s="48">
        <v>0.76253683139139206</v>
      </c>
      <c r="E163" s="48">
        <v>0.85602057477644566</v>
      </c>
      <c r="F163" s="44">
        <v>12153634</v>
      </c>
      <c r="G163" s="44">
        <v>1</v>
      </c>
      <c r="H163" s="48" t="s">
        <v>159</v>
      </c>
      <c r="I163" s="48">
        <v>0.93901950113273325</v>
      </c>
      <c r="J163" s="48">
        <v>0.80849484336164568</v>
      </c>
      <c r="K163" s="48">
        <v>0.88825492465767286</v>
      </c>
      <c r="L163" s="44">
        <v>12153634</v>
      </c>
      <c r="R163" s="21"/>
      <c r="S163" s="21"/>
    </row>
    <row r="164" spans="1:19" s="43" customFormat="1">
      <c r="A164" s="44">
        <v>2</v>
      </c>
      <c r="B164" s="48" t="s">
        <v>176</v>
      </c>
      <c r="C164" s="48">
        <v>0</v>
      </c>
      <c r="D164" s="48">
        <v>0.10211503079691751</v>
      </c>
      <c r="E164" s="48">
        <v>4.4571033352956667E-2</v>
      </c>
      <c r="F164" s="44">
        <v>553960</v>
      </c>
      <c r="G164" s="44">
        <v>2</v>
      </c>
      <c r="H164" s="48" t="s">
        <v>176</v>
      </c>
      <c r="I164" s="48">
        <v>8.4364290554491857E-3</v>
      </c>
      <c r="J164" s="48">
        <v>0.11552907554344354</v>
      </c>
      <c r="K164" s="48">
        <v>4.9874317803129203E-2</v>
      </c>
      <c r="L164" s="44">
        <v>553960</v>
      </c>
      <c r="N164" s="43" t="s">
        <v>278</v>
      </c>
      <c r="R164" s="21"/>
      <c r="S164" s="21"/>
    </row>
    <row r="165" spans="1:19" s="43" customFormat="1">
      <c r="A165" s="44">
        <v>3</v>
      </c>
      <c r="B165" s="48" t="s">
        <v>293</v>
      </c>
      <c r="C165" s="48">
        <v>7.8866445211604019E-2</v>
      </c>
      <c r="D165" s="48">
        <v>4.3687969126431588E-2</v>
      </c>
      <c r="E165" s="48">
        <v>2.1545964298548003E-2</v>
      </c>
      <c r="F165" s="44">
        <v>1692097</v>
      </c>
      <c r="G165" s="44">
        <v>3</v>
      </c>
      <c r="H165" s="48" t="s">
        <v>174</v>
      </c>
      <c r="I165" s="48">
        <v>0</v>
      </c>
      <c r="J165" s="48">
        <v>1.3177871054087711E-2</v>
      </c>
      <c r="K165" s="48">
        <v>0</v>
      </c>
      <c r="L165" s="44">
        <v>8497745</v>
      </c>
      <c r="N165" s="43" t="s">
        <v>279</v>
      </c>
      <c r="R165" s="21"/>
      <c r="S165" s="21"/>
    </row>
    <row r="166" spans="1:19" s="43" customFormat="1">
      <c r="A166" s="44">
        <v>4</v>
      </c>
      <c r="B166" s="48" t="s">
        <v>250</v>
      </c>
      <c r="C166" s="48">
        <v>9.2585964897769126E-3</v>
      </c>
      <c r="D166" s="48">
        <v>2.0282943181964861E-2</v>
      </c>
      <c r="E166" s="48">
        <v>0</v>
      </c>
      <c r="F166" s="44">
        <v>2480382</v>
      </c>
      <c r="G166" s="44">
        <v>4</v>
      </c>
      <c r="H166" s="48" t="s">
        <v>175</v>
      </c>
      <c r="I166" s="48">
        <v>0</v>
      </c>
      <c r="J166" s="48">
        <v>1.1632072573213515E-2</v>
      </c>
      <c r="K166" s="48">
        <v>0</v>
      </c>
      <c r="L166" s="44">
        <v>3689192</v>
      </c>
      <c r="R166" s="21"/>
      <c r="S166" s="21"/>
    </row>
    <row r="167" spans="1:19" s="43" customFormat="1">
      <c r="A167" s="44">
        <v>5</v>
      </c>
      <c r="B167" s="48" t="s">
        <v>169</v>
      </c>
      <c r="C167" s="48">
        <v>0</v>
      </c>
      <c r="D167" s="48">
        <v>1.8919902930732976E-2</v>
      </c>
      <c r="E167" s="48">
        <v>0</v>
      </c>
      <c r="F167" s="44">
        <v>7434864</v>
      </c>
      <c r="G167" s="44">
        <v>5</v>
      </c>
      <c r="H167" s="48" t="s">
        <v>161</v>
      </c>
      <c r="I167" s="48">
        <v>1.9647788360538196E-2</v>
      </c>
      <c r="J167" s="48">
        <v>1.1350583393345749E-2</v>
      </c>
      <c r="K167" s="48">
        <v>9.7562333306705062E-3</v>
      </c>
      <c r="L167" s="44">
        <v>3050596</v>
      </c>
      <c r="R167" s="21"/>
      <c r="S167" s="21"/>
    </row>
    <row r="168" spans="1:19" s="43" customFormat="1">
      <c r="A168" s="44">
        <v>6</v>
      </c>
      <c r="B168" s="48" t="s">
        <v>308</v>
      </c>
      <c r="C168" s="48">
        <v>0</v>
      </c>
      <c r="D168" s="48">
        <v>0</v>
      </c>
      <c r="E168" s="48">
        <v>2.0659839228788116E-2</v>
      </c>
      <c r="F168" s="44">
        <v>14393110</v>
      </c>
      <c r="G168" s="44">
        <v>6</v>
      </c>
      <c r="H168" s="48" t="s">
        <v>308</v>
      </c>
      <c r="I168" s="48">
        <v>0</v>
      </c>
      <c r="J168" s="48">
        <v>0</v>
      </c>
      <c r="K168" s="48">
        <v>1.1935340009398285E-2</v>
      </c>
      <c r="L168" s="44">
        <v>14393110</v>
      </c>
      <c r="R168" s="21"/>
      <c r="S168" s="21"/>
    </row>
    <row r="169" spans="1:19" s="43" customFormat="1">
      <c r="A169" s="44">
        <v>7</v>
      </c>
      <c r="B169" s="48" t="s">
        <v>161</v>
      </c>
      <c r="C169" s="48">
        <v>2.0774958394764974E-2</v>
      </c>
      <c r="D169" s="48">
        <v>0</v>
      </c>
      <c r="E169" s="48">
        <v>1.0890436936310836E-2</v>
      </c>
      <c r="F169" s="44">
        <v>3050596</v>
      </c>
      <c r="G169" s="44">
        <v>7</v>
      </c>
      <c r="H169" s="48" t="s">
        <v>295</v>
      </c>
      <c r="I169" s="48">
        <v>0</v>
      </c>
      <c r="J169" s="48">
        <v>0</v>
      </c>
      <c r="K169" s="48">
        <v>8.1551195250152558E-3</v>
      </c>
      <c r="L169" s="44">
        <v>2887140</v>
      </c>
      <c r="R169" s="21"/>
      <c r="S169" s="21"/>
    </row>
    <row r="170" spans="1:19" s="43" customFormat="1">
      <c r="A170" s="44">
        <v>8</v>
      </c>
      <c r="B170" s="48" t="s">
        <v>156</v>
      </c>
      <c r="C170" s="48">
        <v>1.3001801911710339E-2</v>
      </c>
      <c r="D170" s="48">
        <v>0</v>
      </c>
      <c r="E170" s="48">
        <v>0</v>
      </c>
      <c r="F170" s="44">
        <v>11115023</v>
      </c>
      <c r="G170" s="44">
        <v>8</v>
      </c>
      <c r="H170" s="48" t="s">
        <v>293</v>
      </c>
      <c r="I170" s="48">
        <v>1.2723716534565279E-2</v>
      </c>
      <c r="J170" s="48">
        <v>0</v>
      </c>
      <c r="K170" s="48">
        <v>0</v>
      </c>
      <c r="L170" s="44">
        <v>1692097</v>
      </c>
      <c r="R170" s="21"/>
      <c r="S170" s="21"/>
    </row>
    <row r="171" spans="1:19" s="43" customFormat="1">
      <c r="A171" s="44">
        <v>9</v>
      </c>
      <c r="B171" s="48" t="s">
        <v>251</v>
      </c>
      <c r="C171" s="48">
        <v>1.4314122050182565E-2</v>
      </c>
      <c r="D171" s="48">
        <v>5.2457322572560972E-2</v>
      </c>
      <c r="E171" s="48">
        <v>4.6312151406950663E-2</v>
      </c>
      <c r="F171" s="44">
        <v>5920853</v>
      </c>
      <c r="G171" s="44">
        <v>9</v>
      </c>
      <c r="H171" s="48" t="s">
        <v>250</v>
      </c>
      <c r="I171" s="48">
        <v>5.904927521990358E-3</v>
      </c>
      <c r="J171" s="48">
        <v>0</v>
      </c>
      <c r="K171" s="48">
        <v>0</v>
      </c>
      <c r="L171" s="44">
        <v>2480382</v>
      </c>
      <c r="R171" s="21"/>
      <c r="S171" s="21"/>
    </row>
    <row r="172" spans="1:19" s="43" customFormat="1">
      <c r="A172" s="44">
        <v>10</v>
      </c>
      <c r="B172" s="48"/>
      <c r="C172" s="48">
        <v>0</v>
      </c>
      <c r="D172" s="48">
        <v>0</v>
      </c>
      <c r="E172" s="48">
        <v>0</v>
      </c>
      <c r="F172" s="44"/>
      <c r="G172" s="44">
        <v>10</v>
      </c>
      <c r="H172" s="48" t="s">
        <v>251</v>
      </c>
      <c r="I172" s="48">
        <v>1.4267637394723809E-2</v>
      </c>
      <c r="J172" s="48">
        <v>3.9815554074263848E-2</v>
      </c>
      <c r="K172" s="48">
        <v>3.2024064674113784E-2</v>
      </c>
      <c r="L172" s="44">
        <v>5920853</v>
      </c>
      <c r="R172" s="21"/>
      <c r="S172" s="21"/>
    </row>
    <row r="173" spans="1:19" s="43" customFormat="1">
      <c r="A173" s="44">
        <v>11</v>
      </c>
      <c r="B173" s="48"/>
      <c r="C173" s="48">
        <v>0</v>
      </c>
      <c r="D173" s="48">
        <v>0</v>
      </c>
      <c r="E173" s="48">
        <v>0</v>
      </c>
      <c r="F173" s="44"/>
      <c r="G173" s="44">
        <v>11</v>
      </c>
      <c r="H173" s="48"/>
      <c r="I173" s="48">
        <v>0</v>
      </c>
      <c r="J173" s="48">
        <v>0</v>
      </c>
      <c r="K173" s="48">
        <v>0</v>
      </c>
      <c r="L173" s="44"/>
      <c r="R173" s="21"/>
      <c r="S173" s="21"/>
    </row>
    <row r="174" spans="1:19" s="43" customFormat="1">
      <c r="A174" s="44">
        <v>12</v>
      </c>
      <c r="B174" s="48"/>
      <c r="C174" s="48">
        <v>0</v>
      </c>
      <c r="D174" s="48">
        <v>0</v>
      </c>
      <c r="E174" s="48">
        <v>0</v>
      </c>
      <c r="F174" s="44"/>
      <c r="G174" s="44">
        <v>12</v>
      </c>
      <c r="H174" s="48"/>
      <c r="I174" s="48">
        <v>0</v>
      </c>
      <c r="J174" s="48">
        <v>0</v>
      </c>
      <c r="K174" s="48">
        <v>0</v>
      </c>
      <c r="L174" s="44"/>
      <c r="R174" s="21"/>
      <c r="S174" s="21"/>
    </row>
    <row r="175" spans="1:19" s="43" customFormat="1">
      <c r="A175" s="44">
        <v>13</v>
      </c>
      <c r="B175" s="48"/>
      <c r="C175" s="48">
        <v>0</v>
      </c>
      <c r="D175" s="48">
        <v>0</v>
      </c>
      <c r="E175" s="48">
        <v>0</v>
      </c>
      <c r="F175" s="44"/>
      <c r="G175" s="44">
        <v>13</v>
      </c>
      <c r="H175" s="48"/>
      <c r="I175" s="48">
        <v>0</v>
      </c>
      <c r="J175" s="48">
        <v>0</v>
      </c>
      <c r="K175" s="48">
        <v>0</v>
      </c>
      <c r="L175" s="44"/>
      <c r="R175" s="21"/>
      <c r="S175" s="21"/>
    </row>
    <row r="176" spans="1:19" s="43" customFormat="1">
      <c r="A176" s="44">
        <v>14</v>
      </c>
      <c r="B176" s="48"/>
      <c r="C176" s="48">
        <v>0</v>
      </c>
      <c r="D176" s="48">
        <v>0</v>
      </c>
      <c r="E176" s="48">
        <v>0</v>
      </c>
      <c r="F176" s="44"/>
      <c r="G176" s="44">
        <v>14</v>
      </c>
      <c r="H176" s="48"/>
      <c r="I176" s="48">
        <v>0</v>
      </c>
      <c r="J176" s="48">
        <v>0</v>
      </c>
      <c r="K176" s="48">
        <v>0</v>
      </c>
      <c r="L176" s="44"/>
      <c r="R176" s="21"/>
      <c r="S176" s="21"/>
    </row>
    <row r="177" spans="1:19" s="43" customFormat="1">
      <c r="A177" s="44">
        <v>15</v>
      </c>
      <c r="B177" s="48"/>
      <c r="C177" s="48">
        <v>0</v>
      </c>
      <c r="D177" s="48">
        <v>0</v>
      </c>
      <c r="E177" s="48">
        <v>0</v>
      </c>
      <c r="F177" s="44"/>
      <c r="G177" s="44">
        <v>15</v>
      </c>
      <c r="H177" s="48"/>
      <c r="I177" s="48">
        <v>0</v>
      </c>
      <c r="J177" s="48">
        <v>0</v>
      </c>
      <c r="K177" s="48">
        <v>0</v>
      </c>
      <c r="L177" s="44"/>
      <c r="R177" s="21"/>
      <c r="S177" s="21"/>
    </row>
    <row r="178" spans="1:19" s="43" customFormat="1">
      <c r="A178" s="44">
        <v>16</v>
      </c>
      <c r="B178" s="48"/>
      <c r="C178" s="48">
        <v>0</v>
      </c>
      <c r="D178" s="48">
        <v>0</v>
      </c>
      <c r="E178" s="48">
        <v>0</v>
      </c>
      <c r="F178" s="44"/>
      <c r="G178" s="44">
        <v>16</v>
      </c>
      <c r="H178" s="48"/>
      <c r="I178" s="48">
        <v>0</v>
      </c>
      <c r="J178" s="48">
        <v>0</v>
      </c>
      <c r="K178" s="48">
        <v>0</v>
      </c>
      <c r="L178" s="44"/>
      <c r="R178" s="21"/>
      <c r="S178" s="21"/>
    </row>
    <row r="179" spans="1:19" s="47" customFormat="1">
      <c r="A179" s="43"/>
      <c r="B179" s="43"/>
      <c r="C179" s="43"/>
      <c r="D179" s="43"/>
      <c r="E179" s="43"/>
      <c r="F179" s="43"/>
      <c r="G179" s="43"/>
      <c r="H179" s="43"/>
      <c r="I179" s="43"/>
      <c r="J179" s="43"/>
      <c r="K179" s="43"/>
      <c r="L179" s="43"/>
      <c r="M179" s="43"/>
      <c r="N179" s="43"/>
      <c r="O179" s="43"/>
      <c r="P179" s="43"/>
      <c r="Q179" s="43"/>
      <c r="R179" s="21"/>
      <c r="S179" s="21"/>
    </row>
    <row r="180" spans="1:19" s="47" customFormat="1">
      <c r="A180" s="43"/>
      <c r="B180" s="43"/>
      <c r="C180" s="43"/>
      <c r="D180" s="43"/>
      <c r="E180" s="43"/>
      <c r="F180" s="43"/>
      <c r="G180" s="43"/>
      <c r="H180" s="43"/>
      <c r="I180" s="43"/>
      <c r="J180" s="43"/>
      <c r="K180" s="43"/>
      <c r="L180" s="43"/>
      <c r="M180" s="43"/>
      <c r="N180" s="43"/>
      <c r="O180" s="43"/>
      <c r="P180" s="43"/>
      <c r="Q180" s="43"/>
      <c r="R180" s="21"/>
      <c r="S180" s="21"/>
    </row>
    <row r="181" spans="1:19" s="47" customFormat="1">
      <c r="A181" s="21"/>
      <c r="B181" s="21"/>
      <c r="C181" s="21"/>
      <c r="D181" s="21"/>
      <c r="E181" s="21"/>
      <c r="F181" s="21"/>
      <c r="G181" s="21"/>
      <c r="H181" s="21"/>
      <c r="I181" s="21"/>
      <c r="J181" s="21"/>
      <c r="K181" s="21"/>
      <c r="L181" s="21"/>
      <c r="M181" s="21"/>
      <c r="N181" s="21"/>
      <c r="O181" s="21"/>
      <c r="P181" s="21"/>
      <c r="Q181" s="21"/>
      <c r="R181" s="21"/>
      <c r="S181" s="21"/>
    </row>
    <row r="182" spans="1:19" s="47" customFormat="1">
      <c r="A182" s="21"/>
      <c r="B182" s="21"/>
      <c r="C182" s="21"/>
      <c r="D182" s="21"/>
      <c r="E182" s="21"/>
      <c r="F182" s="21"/>
      <c r="G182" s="21"/>
      <c r="H182" s="21"/>
      <c r="I182" s="21"/>
      <c r="J182" s="21"/>
      <c r="K182" s="21"/>
      <c r="L182" s="21"/>
      <c r="M182" s="21"/>
      <c r="N182" s="21"/>
      <c r="O182" s="21"/>
      <c r="P182" s="21"/>
      <c r="Q182" s="21"/>
      <c r="R182" s="21"/>
      <c r="S182" s="21"/>
    </row>
    <row r="183" spans="1:19" s="47" customFormat="1">
      <c r="A183" s="21"/>
      <c r="B183" s="21"/>
      <c r="C183" s="21"/>
      <c r="D183" s="21"/>
      <c r="E183" s="21"/>
      <c r="F183" s="21"/>
      <c r="G183" s="21"/>
      <c r="H183" s="21"/>
      <c r="I183" s="21"/>
      <c r="J183" s="21"/>
      <c r="K183" s="21"/>
      <c r="L183" s="21"/>
      <c r="M183" s="21"/>
      <c r="N183" s="21"/>
      <c r="O183" s="21"/>
      <c r="P183" s="21"/>
      <c r="Q183" s="21"/>
      <c r="R183" s="21"/>
      <c r="S183" s="21"/>
    </row>
    <row r="184" spans="1:19" s="47" customFormat="1">
      <c r="J184" s="21"/>
      <c r="K184" s="21"/>
      <c r="L184" s="21"/>
      <c r="M184" s="21"/>
      <c r="N184" s="21"/>
      <c r="O184" s="21"/>
      <c r="P184" s="21"/>
      <c r="Q184" s="21"/>
      <c r="R184" s="21"/>
      <c r="S184" s="21"/>
    </row>
    <row r="185" spans="1:19" s="47" customFormat="1">
      <c r="J185" s="21"/>
      <c r="K185" s="21"/>
      <c r="L185" s="21"/>
      <c r="M185" s="21"/>
      <c r="N185" s="21"/>
      <c r="O185" s="21"/>
      <c r="P185" s="21"/>
      <c r="Q185" s="21"/>
      <c r="R185" s="21"/>
      <c r="S185" s="21"/>
    </row>
    <row r="186" spans="1:19" s="47" customFormat="1">
      <c r="J186" s="21"/>
      <c r="K186" s="21"/>
      <c r="L186" s="21"/>
      <c r="M186" s="21"/>
      <c r="N186" s="21"/>
      <c r="O186" s="21"/>
      <c r="P186" s="21"/>
      <c r="Q186" s="21"/>
      <c r="R186" s="21"/>
      <c r="S186" s="21"/>
    </row>
    <row r="187" spans="1:19" s="47" customFormat="1">
      <c r="J187" s="21"/>
      <c r="K187" s="21"/>
      <c r="L187" s="21"/>
      <c r="M187" s="21"/>
      <c r="N187" s="21"/>
      <c r="O187" s="21"/>
      <c r="P187" s="21"/>
      <c r="Q187" s="21"/>
      <c r="R187" s="21"/>
      <c r="S187" s="21"/>
    </row>
    <row r="188" spans="1:19" s="47" customFormat="1"/>
    <row r="189" spans="1:19" s="47" customFormat="1"/>
    <row r="190" spans="1:19" s="47" customFormat="1"/>
    <row r="191" spans="1:19" s="47" customFormat="1"/>
    <row r="192" spans="1:19" s="47" customFormat="1"/>
    <row r="193" s="47" customFormat="1"/>
  </sheetData>
  <mergeCells count="12">
    <mergeCell ref="A141:A143"/>
    <mergeCell ref="O1:P1"/>
    <mergeCell ref="A3:A11"/>
    <mergeCell ref="A12:A21"/>
    <mergeCell ref="A22:A27"/>
    <mergeCell ref="A28:A42"/>
    <mergeCell ref="B45:C45"/>
    <mergeCell ref="B46:C46"/>
    <mergeCell ref="B47:C47"/>
    <mergeCell ref="A122:A131"/>
    <mergeCell ref="A132:A135"/>
    <mergeCell ref="A136:A140"/>
  </mergeCells>
  <dataValidations count="1">
    <dataValidation type="list" allowBlank="1" showInputMessage="1" showErrorMessage="1" sqref="N1" xr:uid="{42576B60-DF2C-4987-A2AA-F630D5D5816E}">
      <formula1>$C$113:$C$114</formula1>
    </dataValidation>
  </dataValidations>
  <hyperlinks>
    <hyperlink ref="O1:P1" location="Home_page" display="Back to home page" xr:uid="{87505990-2C06-4A4A-AD2E-0CAE392C017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4" max="16383" man="1"/>
    <brk id="115"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82065E6B-0A3E-49A5-854C-B02725717EDC}">
          <x14:colorSeries rgb="FF323232"/>
          <x14:colorNegative rgb="FFD00000"/>
          <x14:colorAxis rgb="FF000000"/>
          <x14:colorMarkers rgb="FFD00000"/>
          <x14:colorFirst rgb="FFD00000"/>
          <x14:colorLast rgb="FFD00000"/>
          <x14:colorHigh rgb="FFD00000"/>
          <x14:colorLow rgb="FFD00000"/>
          <x14:sparklines>
            <x14:sparkline>
              <xm:f>'Area VIIa nephrops u250kW'!D3:N3</xm:f>
              <xm:sqref>C3</xm:sqref>
            </x14:sparkline>
            <x14:sparkline>
              <xm:f>'Area VIIa nephrops u250kW'!D4:N4</xm:f>
              <xm:sqref>C4</xm:sqref>
            </x14:sparkline>
            <x14:sparkline>
              <xm:f>'Area VIIa nephrops u250kW'!D5:N5</xm:f>
              <xm:sqref>C5</xm:sqref>
            </x14:sparkline>
            <x14:sparkline>
              <xm:f>'Area VIIa nephrops u250kW'!D6:N6</xm:f>
              <xm:sqref>C6</xm:sqref>
            </x14:sparkline>
            <x14:sparkline>
              <xm:f>'Area VIIa nephrops u250kW'!D7:N7</xm:f>
              <xm:sqref>C7</xm:sqref>
            </x14:sparkline>
            <x14:sparkline>
              <xm:f>'Area VIIa nephrops u250kW'!D8:N8</xm:f>
              <xm:sqref>C8</xm:sqref>
            </x14:sparkline>
            <x14:sparkline>
              <xm:f>'Area VIIa nephrops u250kW'!D9:N9</xm:f>
              <xm:sqref>C9</xm:sqref>
            </x14:sparkline>
            <x14:sparkline>
              <xm:f>'Area VIIa nephrops u250kW'!D10:N10</xm:f>
              <xm:sqref>C10</xm:sqref>
            </x14:sparkline>
            <x14:sparkline>
              <xm:f>'Area VIIa nephrops u250kW'!D11:N11</xm:f>
              <xm:sqref>C11</xm:sqref>
            </x14:sparkline>
            <x14:sparkline>
              <xm:f>'Area VIIa nephrops u250kW'!D12:N12</xm:f>
              <xm:sqref>C12</xm:sqref>
            </x14:sparkline>
            <x14:sparkline>
              <xm:f>'Area VIIa nephrops u250kW'!D13:N13</xm:f>
              <xm:sqref>C13</xm:sqref>
            </x14:sparkline>
            <x14:sparkline>
              <xm:f>'Area VIIa nephrops u250kW'!D14:N14</xm:f>
              <xm:sqref>C14</xm:sqref>
            </x14:sparkline>
            <x14:sparkline>
              <xm:f>'Area VIIa nephrops u250kW'!D15:N15</xm:f>
              <xm:sqref>C15</xm:sqref>
            </x14:sparkline>
            <x14:sparkline>
              <xm:f>'Area VIIa nephrops u250kW'!D16:N16</xm:f>
              <xm:sqref>C16</xm:sqref>
            </x14:sparkline>
            <x14:sparkline>
              <xm:f>'Area VIIa nephrops u250kW'!D17:N17</xm:f>
              <xm:sqref>C17</xm:sqref>
            </x14:sparkline>
            <x14:sparkline>
              <xm:f>'Area VIIa nephrops u250kW'!D18:N18</xm:f>
              <xm:sqref>C18</xm:sqref>
            </x14:sparkline>
            <x14:sparkline>
              <xm:f>'Area VIIa nephrops u250kW'!D19:N19</xm:f>
              <xm:sqref>C19</xm:sqref>
            </x14:sparkline>
            <x14:sparkline>
              <xm:f>'Area VIIa nephrops u250kW'!D20:N20</xm:f>
              <xm:sqref>C20</xm:sqref>
            </x14:sparkline>
            <x14:sparkline>
              <xm:f>'Area VIIa nephrops u250kW'!D21:N21</xm:f>
              <xm:sqref>C21</xm:sqref>
            </x14:sparkline>
            <x14:sparkline>
              <xm:f>'Area VIIa nephrops u250kW'!D22:N22</xm:f>
              <xm:sqref>C22</xm:sqref>
            </x14:sparkline>
            <x14:sparkline>
              <xm:f>'Area VIIa nephrops u250kW'!D23:N23</xm:f>
              <xm:sqref>C23</xm:sqref>
            </x14:sparkline>
            <x14:sparkline>
              <xm:f>'Area VIIa nephrops u250kW'!D24:N24</xm:f>
              <xm:sqref>C24</xm:sqref>
            </x14:sparkline>
            <x14:sparkline>
              <xm:f>'Area VIIa nephrops u250kW'!D25:N25</xm:f>
              <xm:sqref>C25</xm:sqref>
            </x14:sparkline>
            <x14:sparkline>
              <xm:f>'Area VIIa nephrops u250kW'!D26:N26</xm:f>
              <xm:sqref>C26</xm:sqref>
            </x14:sparkline>
            <x14:sparkline>
              <xm:f>'Area VIIa nephrops u250kW'!D27:N27</xm:f>
              <xm:sqref>C27</xm:sqref>
            </x14:sparkline>
            <x14:sparkline>
              <xm:f>'Area VIIa nephrops u250kW'!D28:N28</xm:f>
              <xm:sqref>C28</xm:sqref>
            </x14:sparkline>
            <x14:sparkline>
              <xm:f>'Area VIIa nephrops u250kW'!D29:N29</xm:f>
              <xm:sqref>C29</xm:sqref>
            </x14:sparkline>
            <x14:sparkline>
              <xm:f>'Area VIIa nephrops u250kW'!D30:N30</xm:f>
              <xm:sqref>C30</xm:sqref>
            </x14:sparkline>
            <x14:sparkline>
              <xm:f>'Area VIIa nephrops u250kW'!D31:N31</xm:f>
              <xm:sqref>C31</xm:sqref>
            </x14:sparkline>
            <x14:sparkline>
              <xm:f>'Area VIIa nephrops u250kW'!D32:N32</xm:f>
              <xm:sqref>C32</xm:sqref>
            </x14:sparkline>
            <x14:sparkline>
              <xm:f>'Area VIIa nephrops u250kW'!D33:N33</xm:f>
              <xm:sqref>C33</xm:sqref>
            </x14:sparkline>
            <x14:sparkline>
              <xm:f>'Area VIIa nephrops u250kW'!D34:N34</xm:f>
              <xm:sqref>C34</xm:sqref>
            </x14:sparkline>
            <x14:sparkline>
              <xm:f>'Area VIIa nephrops u250kW'!D35:N35</xm:f>
              <xm:sqref>C35</xm:sqref>
            </x14:sparkline>
            <x14:sparkline>
              <xm:f>'Area VIIa nephrops u250kW'!D36:N36</xm:f>
              <xm:sqref>C36</xm:sqref>
            </x14:sparkline>
            <x14:sparkline>
              <xm:f>'Area VIIa nephrops u250kW'!D37:N37</xm:f>
              <xm:sqref>C37</xm:sqref>
            </x14:sparkline>
            <x14:sparkline>
              <xm:f>'Area VIIa nephrops u250kW'!D38:N38</xm:f>
              <xm:sqref>C38</xm:sqref>
            </x14:sparkline>
            <x14:sparkline>
              <xm:f>'Area VIIa nephrops u250kW'!D39:N39</xm:f>
              <xm:sqref>C39</xm:sqref>
            </x14:sparkline>
            <x14:sparkline>
              <xm:f>'Area VIIa nephrops u250kW'!D40:N40</xm:f>
              <xm:sqref>C40</xm:sqref>
            </x14:sparkline>
            <x14:sparkline>
              <xm:f>'Area VIIa nephrops u250kW'!D41:N41</xm:f>
              <xm:sqref>C41</xm:sqref>
            </x14:sparkline>
            <x14:sparkline>
              <xm:f>'Area VIIa nephrops u250kW'!D42:N42</xm:f>
              <xm:sqref>C42</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eafish Open Document" ma:contentTypeID="0x010100FBC0F8BFD01A91498CA7837A71EEDFDB0100D8D74AD133DD5E4C9488BA264812959E" ma:contentTypeVersion="30" ma:contentTypeDescription="Seafish Open Document Content Type" ma:contentTypeScope="" ma:versionID="6cf6eeec6f8d0b88530e7c73574e6803">
  <xsd:schema xmlns:xsd="http://www.w3.org/2001/XMLSchema" xmlns:xs="http://www.w3.org/2001/XMLSchema" xmlns:p="http://schemas.microsoft.com/office/2006/metadata/properties" xmlns:ns2="cebd32e3-9ab6-41ee-b1af-b8405a8d4e68" xmlns:ns3="d4c1e97c-7a75-4aca-9712-5efb9ef450ab" targetNamespace="http://schemas.microsoft.com/office/2006/metadata/properties" ma:root="true" ma:fieldsID="c7adf362057f3fbfeab303a81cf00593" ns2:_="" ns3:_="">
    <xsd:import namespace="cebd32e3-9ab6-41ee-b1af-b8405a8d4e68"/>
    <xsd:import namespace="d4c1e97c-7a75-4aca-9712-5efb9ef450ab"/>
    <xsd:element name="properties">
      <xsd:complexType>
        <xsd:sequence>
          <xsd:element name="documentManagement">
            <xsd:complexType>
              <xsd:all>
                <xsd:element ref="ns2:PublicationDate"/>
                <xsd:element ref="ns2:DocumentSummary"/>
                <xsd:element ref="ns2:DocumentTopic" minOccurs="0"/>
                <xsd:element ref="ns2:DocumentAuthors" minOccurs="0"/>
                <xsd:element ref="ns2:MediaFormatOld" minOccurs="0"/>
                <xsd:element ref="ns2:PublicationRefNo" minOccurs="0"/>
                <xsd:element ref="ns2:ISBN" minOccurs="0"/>
                <xsd:element ref="ns2:LegacyId" minOccurs="0"/>
                <xsd:element ref="ns2:PubMonth" minOccurs="0"/>
                <xsd:element ref="ns2:PubYear" minOccurs="0"/>
                <xsd:element ref="ns2:MediaFormat" minOccurs="0"/>
                <xsd:element ref="ns2:DocumentAdded"/>
                <xsd:element ref="ns2:DocumentStatus"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bd32e3-9ab6-41ee-b1af-b8405a8d4e68" elementFormDefault="qualified">
    <xsd:import namespace="http://schemas.microsoft.com/office/2006/documentManagement/types"/>
    <xsd:import namespace="http://schemas.microsoft.com/office/infopath/2007/PartnerControls"/>
    <xsd:element name="PublicationDate" ma:index="2" ma:displayName="Publication Date" ma:format="DateOnly" ma:internalName="PublicationDate">
      <xsd:simpleType>
        <xsd:restriction base="dms:DateTime"/>
      </xsd:simpleType>
    </xsd:element>
    <xsd:element name="DocumentSummary" ma:index="3" ma:displayName="Summary" ma:internalName="DocumentSummary" ma:readOnly="false">
      <xsd:simpleType>
        <xsd:restriction base="dms:Note">
          <xsd:maxLength value="255"/>
        </xsd:restriction>
      </xsd:simpleType>
    </xsd:element>
    <xsd:element name="DocumentTopic" ma:index="5" nillable="true" ma:displayName="Topic" ma:default="" ma:internalName="DocumentTopic">
      <xsd:complexType>
        <xsd:complexContent>
          <xsd:extension base="dms:MultiChoice">
            <xsd:sequence>
              <xsd:element name="Value" maxOccurs="unbounded" minOccurs="0" nillable="true">
                <xsd:simpleType>
                  <xsd:restriction base="dms:Choice">
                    <xsd:enumeration value="Technical Report"/>
                    <xsd:enumeration value="Factsheet/Datasheet"/>
                    <xsd:enumeration value="Corporate Document"/>
                    <xsd:enumeration value="Guidelines"/>
                    <xsd:enumeration value="Marine Survey"/>
                    <xsd:enumeration value="Training Material"/>
                    <xsd:enumeration value="Careers"/>
                    <xsd:enumeration value="Economics and Business"/>
                    <xsd:enumeration value="Aquaculture"/>
                    <xsd:enumeration value="IPF Final Reports"/>
                    <xsd:enumeration value="Other"/>
                    <xsd:enumeration value="Not known"/>
                    <xsd:enumeration value="Internal Seafish Report"/>
                    <xsd:enumeration value="Confidential Seafish Report"/>
                    <xsd:enumeration value="Seafood Guide"/>
                    <xsd:enumeration value=".Web-About Seafish"/>
                    <xsd:enumeration value=".Web-Changing Landscapes"/>
                    <xsd:enumeration value=".Web-Promoting Seafood"/>
                    <xsd:enumeration value=".Web-Responsible Sourcing"/>
                    <xsd:enumeration value=".Web-Safety and Training"/>
                    <xsd:enumeration value=".Web-Insight and Research"/>
                  </xsd:restriction>
                </xsd:simpleType>
              </xsd:element>
            </xsd:sequence>
          </xsd:extension>
        </xsd:complexContent>
      </xsd:complexType>
    </xsd:element>
    <xsd:element name="DocumentAuthors" ma:index="6" nillable="true" ma:displayName="Authors" ma:internalName="DocumentAuthors">
      <xsd:complexType>
        <xsd:complexContent>
          <xsd:extension base="dms:MultiChoice">
            <xsd:sequence>
              <xsd:element name="Value" maxOccurs="unbounded" minOccurs="0" nillable="true">
                <xsd:simpleType>
                  <xsd:restriction base="dms:Choice">
                    <xsd:enumeration value="A. Justel-Rubio"/>
                    <xsd:enumeration value="A. Lucchetti"/>
                    <xsd:enumeration value="A. Sala"/>
                    <xsd:enumeration value="A.Adams"/>
                    <xsd:enumeration value="A.B"/>
                    <xsd:enumeration value="A.Bent"/>
                    <xsd:enumeration value="A.Brown"/>
                    <xsd:enumeration value="A.C.C"/>
                    <xsd:enumeration value="A.Campbell"/>
                    <xsd:enumeration value="A.Chau"/>
                    <xsd:enumeration value="A.Copeland"/>
                    <xsd:enumeration value="A.Corcoran"/>
                    <xsd:enumeration value="A.Coutts"/>
                    <xsd:enumeration value="A.Dean"/>
                    <xsd:enumeration value="A.G.Hopper"/>
                    <xsd:enumeration value="A.Garthwaite"/>
                    <xsd:enumeration value="A.Grant"/>
                    <xsd:enumeration value="A.Hewer"/>
                    <xsd:enumeration value="A.J.Courtney"/>
                    <xsd:enumeration value="A.J.Dean"/>
                    <xsd:enumeration value="A.Kenny"/>
                    <xsd:enumeration value="A.Martin"/>
                    <xsd:enumeration value="A.Mills"/>
                    <xsd:enumeration value="A.Moody"/>
                    <xsd:enumeration value="A.Nicholson"/>
                    <xsd:enumeration value="A.P.Woolmer"/>
                    <xsd:enumeration value="A.R"/>
                    <xsd:enumeration value="A.Revill"/>
                    <xsd:enumeration value="A.S"/>
                    <xsd:enumeration value="A.Santos"/>
                    <xsd:enumeration value="A.Searle"/>
                    <xsd:enumeration value="A.Smith"/>
                    <xsd:enumeration value="A.Steel"/>
                    <xsd:enumeration value="A.Strickland"/>
                    <xsd:enumeration value="A.Thompson"/>
                    <xsd:enumeration value="A.Wilson"/>
                    <xsd:enumeration value="A.Woolmer"/>
                    <xsd:enumeration value="A.Younger"/>
                    <xsd:enumeration value="A.Younger"/>
                    <xsd:enumeration value="Acoura"/>
                    <xsd:enumeration value="Adam Brown"/>
                    <xsd:enumeration value="ADAS"/>
                    <xsd:enumeration value="ADAS Environment"/>
                    <xsd:enumeration value="AFBI"/>
                    <xsd:enumeration value="AGH"/>
                    <xsd:enumeration value="Agri Food and Biosciences Institute"/>
                    <xsd:enumeration value="Alan Dean"/>
                    <xsd:enumeration value="Alan Hayes"/>
                    <xsd:enumeration value="Alex Caveen"/>
                    <xsd:enumeration value="Alexander Schofield"/>
                    <xsd:enumeration value="Alison Austin"/>
                    <xsd:enumeration value="Ana Justel-Rubio"/>
                    <xsd:enumeration value="Ana Witteveen"/>
                    <xsd:enumeration value="Andrew FitzGerald"/>
                    <xsd:enumeration value="ANIFOP"/>
                    <xsd:enumeration value="Anne Cameron"/>
                    <xsd:enumeration value="Anne Wallace"/>
                    <xsd:enumeration value="Anne-Margaret Stewart"/>
                    <xsd:enumeration value="Aquafish Solutions Ltd."/>
                    <xsd:enumeration value="Aquatic Water Services Ltd."/>
                    <xsd:enumeration value="Ardtoe"/>
                    <xsd:enumeration value="Arina Motova"/>
                    <xsd:enumeration value="ASSG"/>
                    <xsd:enumeration value="Association of Port Health Authorities"/>
                    <xsd:enumeration value="Association of Public Analy"/>
                    <xsd:enumeration value="ATM"/>
                    <xsd:enumeration value="B.A"/>
                    <xsd:enumeration value="B.Ashcroft"/>
                    <xsd:enumeration value="B.Greenwood"/>
                    <xsd:enumeration value="B.H"/>
                    <xsd:enumeration value="B.Hughes"/>
                    <xsd:enumeration value="B.Mounce"/>
                    <xsd:enumeration value="B.Scannell"/>
                    <xsd:enumeration value="B.Thain"/>
                    <xsd:enumeration value="B.van Marlen"/>
                    <xsd:enumeration value="B.Wilson"/>
                    <xsd:enumeration value="BFFF"/>
                    <xsd:enumeration value="BHA"/>
                    <xsd:enumeration value="BIM Irish Sea Fisheries Board"/>
                    <xsd:enumeration value="Brahm Insight"/>
                    <xsd:enumeration value="BRC"/>
                    <xsd:enumeration value="British Marine Finfish Association"/>
                    <xsd:enumeration value="Bryony Townhill (Marine Climate Change Impacts Partnership)"/>
                    <xsd:enumeration value="C. Burton"/>
                    <xsd:enumeration value="C.A.Burton"/>
                    <xsd:enumeration value="C.A.Goudey"/>
                    <xsd:enumeration value="C.B"/>
                    <xsd:enumeration value="C.Baker"/>
                    <xsd:enumeration value="C.Brady"/>
                    <xsd:enumeration value="C.C"/>
                    <xsd:enumeration value="C.Carlton"/>
                    <xsd:enumeration value="C.Curr"/>
                    <xsd:enumeration value="C.Cutts"/>
                    <xsd:enumeration value="C.Daniels"/>
                    <xsd:enumeration value="C.E.P.Watson"/>
                    <xsd:enumeration value="C.E.Tucker"/>
                    <xsd:enumeration value="C.F.Jackson"/>
                    <xsd:enumeration value="C.Filippopoulos"/>
                    <xsd:enumeration value="C.Ford"/>
                    <xsd:enumeration value="C.G.S.W"/>
                    <xsd:enumeration value="C.H.Davies"/>
                    <xsd:enumeration value="C.J Cutts"/>
                    <xsd:enumeration value="C.J. Chapman"/>
                    <xsd:enumeration value="C.J.Ellis"/>
                    <xsd:enumeration value="C.Jackson"/>
                    <xsd:enumeration value="C.Knight"/>
                    <xsd:enumeration value="C.Lacamara"/>
                    <xsd:enumeration value="C.Leadley"/>
                    <xsd:enumeration value="C.M. Fortuna"/>
                    <xsd:enumeration value="C.Mazorra de Quero"/>
                    <xsd:enumeration value="C.Nevin"/>
                    <xsd:enumeration value="C.P.Baker"/>
                    <xsd:enumeration value="C.Roberts"/>
                    <xsd:enumeration value="C.Saurel"/>
                    <xsd:enumeration value="C.T.O"/>
                    <xsd:enumeration value="C.T.W.C"/>
                    <xsd:enumeration value="C.T.W.Curr"/>
                    <xsd:enumeration value="C.Tucker"/>
                    <xsd:enumeration value="C.W"/>
                    <xsd:enumeration value="C.Wells"/>
                    <xsd:enumeration value="C.Young"/>
                    <xsd:enumeration value="CA Burton"/>
                    <xsd:enumeration value="Camborne School of Mines"/>
                    <xsd:enumeration value="Campden BRI"/>
                    <xsd:enumeration value="Candida Barbato"/>
                    <xsd:enumeration value="Cardiff Economic Research Associates Ltd"/>
                    <xsd:enumeration value="Catriona Power"/>
                    <xsd:enumeration value="CC"/>
                    <xsd:enumeration value="CCFRA"/>
                    <xsd:enumeration value="Cefas"/>
                    <xsd:enumeration value="Centre for Aquaculture and Fisheries"/>
                    <xsd:enumeration value="CEPW"/>
                    <xsd:enumeration value="CEPW"/>
                    <xsd:enumeration value="CFPO"/>
                    <xsd:enumeration value="Chao Lu"/>
                    <xsd:enumeration value="Chelonia"/>
                    <xsd:enumeration value="China Ministry of Health"/>
                    <xsd:enumeration value="Chris Barbour"/>
                    <xsd:enumeration value="Chris Kirkland"/>
                    <xsd:enumeration value="Clifford A.Goudey"/>
                    <xsd:enumeration value="Clive Monk"/>
                    <xsd:enumeration value="Colin Brodie"/>
                    <xsd:enumeration value="Craig Burton"/>
                    <xsd:enumeration value="Crick Carlton"/>
                    <xsd:enumeration value="Cristina Fernandez"/>
                    <xsd:enumeration value="Cristina Pita"/>
                    <xsd:enumeration value="D. Itano"/>
                    <xsd:enumeration value="D.A"/>
                    <xsd:enumeration value="D.A.Masson"/>
                    <xsd:enumeration value="D.Amos"/>
                    <xsd:enumeration value="D.Amos"/>
                    <xsd:enumeration value="D.Boothroyd"/>
                    <xsd:enumeration value="D.Burdon"/>
                    <xsd:enumeration value="D.Cashmore"/>
                    <xsd:enumeration value="D.Cole"/>
                    <xsd:enumeration value="D.Cook"/>
                    <xsd:enumeration value="D.E.Ballam"/>
                    <xsd:enumeration value="D.Edwards"/>
                    <xsd:enumeration value="D.Elliot"/>
                    <xsd:enumeration value="D.G"/>
                    <xsd:enumeration value="D.Gowland"/>
                    <xsd:enumeration value="D.H"/>
                    <xsd:enumeration value="D.Harrison"/>
                    <xsd:enumeration value="D.Homer"/>
                    <xsd:enumeration value="D.Hornerm"/>
                    <xsd:enumeration value="D.J.Wood"/>
                    <xsd:enumeration value="D.L"/>
                    <xsd:enumeration value="D.Marshall"/>
                    <xsd:enumeration value="D.Miles"/>
                    <xsd:enumeration value="D.Miller"/>
                    <xsd:enumeration value="D.Oakes"/>
                    <xsd:enumeration value="D.P"/>
                    <xsd:enumeration value="D.Patterson"/>
                    <xsd:enumeration value="D.Pirie"/>
                    <xsd:enumeration value="D.Robertson"/>
                    <xsd:enumeration value="D.S"/>
                    <xsd:enumeration value="D.Steel"/>
                    <xsd:enumeration value="D.Sykes"/>
                    <xsd:enumeration value="D.Symes"/>
                    <xsd:enumeration value="D.Taylor"/>
                    <xsd:enumeration value="D.Tocher"/>
                    <xsd:enumeration value="D.W"/>
                    <xsd:enumeration value="D.Wood"/>
                    <xsd:enumeration value="D.Woods"/>
                    <xsd:enumeration value="Daniel Lee"/>
                    <xsd:enumeration value="Daniel McDonald"/>
                    <xsd:enumeration value="Daragh Browne"/>
                    <xsd:enumeration value="Darren Stevenson, Legal Director at Wiggin LLP"/>
                    <xsd:enumeration value="Dave Dewick"/>
                    <xsd:enumeration value="Dave Price"/>
                    <xsd:enumeration value="David Parish"/>
                    <xsd:enumeration value="David Parker"/>
                    <xsd:enumeration value="David Russell"/>
                    <xsd:enumeration value="David Sterling"/>
                    <xsd:enumeration value="Dawby"/>
                    <xsd:enumeration value="Dawn Sneddon"/>
                    <xsd:enumeration value="Dean Millar"/>
                    <xsd:enumeration value="Defra"/>
                    <xsd:enumeration value="DIFRES"/>
                    <xsd:enumeration value="DIFTA"/>
                    <xsd:enumeration value="DIFTA Denmark"/>
                    <xsd:enumeration value="DoH"/>
                    <xsd:enumeration value="Doug McLeod"/>
                    <xsd:enumeration value="Dr B. McAdam (Stirling University)"/>
                    <xsd:enumeration value="Dr J. Harman"/>
                    <xsd:enumeration value="Dr J. Pinnegar (CEFAS"/>
                    <xsd:enumeration value="Dr L. Falconer"/>
                    <xsd:enumeration value="Dr Stewart Brown (Stewart Brown Associates Ltd)"/>
                    <xsd:enumeration value="Dr T. Telfer"/>
                    <xsd:enumeration value="Dr Tom Pickerell (Tomolamola Consulting Ltd)"/>
                    <xsd:enumeration value="Dr. A.R.Hearn"/>
                    <xsd:enumeration value="Dr. Alan Heyworth"/>
                    <xsd:enumeration value="Dr. Alex Caveen"/>
                    <xsd:enumeration value="Dr. Andrew Jackson"/>
                    <xsd:enumeration value="Dr. Andrew Woolmer"/>
                    <xsd:enumeration value="Dr. Andy Revill"/>
                    <xsd:enumeration value="Dr. Angus Garrett"/>
                    <xsd:enumeration value="Dr. Annika Clements"/>
                    <xsd:enumeration value="Dr. Bill Roy"/>
                    <xsd:enumeration value="Dr. D.Robertson"/>
                    <xsd:enumeration value="Dr. E.Fossey"/>
                    <xsd:enumeration value="Dr. Edwards"/>
                    <xsd:enumeration value="Dr. Eric Edwards"/>
                    <xsd:enumeration value="Dr. Francis Murray"/>
                    <xsd:enumeration value="Dr. Hilmar Hinz"/>
                    <xsd:enumeration value="Dr. I.T.Mentjes"/>
                    <xsd:enumeration value="Dr. J.Sheperd"/>
                    <xsd:enumeration value="Dr. James Bron"/>
                    <xsd:enumeration value="Dr. James Treasurer"/>
                    <xsd:enumeration value="Dr. Jan G.Hiddink"/>
                    <xsd:enumeration value="Dr. Jim Treasurer, Dr T Atack"/>
                    <xsd:enumeration value="Dr. John Pinnegar"/>
                    <xsd:enumeration value="Dr. Jon Harman"/>
                    <xsd:enumeration value="Dr. M.Mühling"/>
                    <xsd:enumeration value="Dr. Matt Service"/>
                    <xsd:enumeration value="Dr. N.Lake"/>
                    <xsd:enumeration value="Dr. Rachel Burch"/>
                    <xsd:enumeration value="Dr. S.Davies"/>
                    <xsd:enumeration value="Dr. S.E.Taylor"/>
                    <xsd:enumeration value="E.Allison"/>
                    <xsd:enumeration value="E.Cochrane"/>
                    <xsd:enumeration value="E.Edwards"/>
                    <xsd:enumeration value="E.Fossey"/>
                    <xsd:enumeration value="E.Maxwell"/>
                    <xsd:enumeration value="E.Nicholls"/>
                    <xsd:enumeration value="E.W.Taylor"/>
                    <xsd:enumeration value="EA"/>
                    <xsd:enumeration value="Emi Katoh"/>
                    <xsd:enumeration value="Emma Bradshaw"/>
                    <xsd:enumeration value="Emma Brown"/>
                    <xsd:enumeration value="Emma White"/>
                    <xsd:enumeration value="Enrico Longoni"/>
                    <xsd:enumeration value="Epsom"/>
                    <xsd:enumeration value="Erik Lindebo"/>
                    <xsd:enumeration value="Eunice Pinn"/>
                    <xsd:enumeration value="Eurographic Ltd"/>
                    <xsd:enumeration value="European Food Safety Authority"/>
                    <xsd:enumeration value="F. De Carlo"/>
                    <xsd:enumeration value="F. Forget"/>
                    <xsd:enumeration value="F.Chopin"/>
                    <xsd:enumeration value="F.Dixon"/>
                    <xsd:enumeration value="F.Nimmo"/>
                    <xsd:enumeration value="Fanming Kong"/>
                    <xsd:enumeration value="FERU"/>
                    <xsd:enumeration value="FHF"/>
                    <xsd:enumeration value="Fiona Birch"/>
                    <xsd:enumeration value="Fiona Wright"/>
                    <xsd:enumeration value="Fisheries Research Services"/>
                    <xsd:enumeration value="Fishing News"/>
                    <xsd:enumeration value="FISHupdate"/>
                    <xsd:enumeration value="FPKTN"/>
                    <xsd:enumeration value="Francis Murray"/>
                    <xsd:enumeration value="Francisco Areal"/>
                    <xsd:enumeration value="Frank Armstrong"/>
                    <xsd:enumeration value="FRM Ltd."/>
                    <xsd:enumeration value="G McAllister"/>
                    <xsd:enumeration value="G. Moreno"/>
                    <xsd:enumeration value="G.A.Garthwaite"/>
                    <xsd:enumeration value="G.A.Webb"/>
                    <xsd:enumeration value="G.Bell"/>
                    <xsd:enumeration value="G.C"/>
                    <xsd:enumeration value="G.C.E"/>
                    <xsd:enumeration value="G.Cartwright"/>
                    <xsd:enumeration value="G.Course"/>
                    <xsd:enumeration value="G.Dunlin"/>
                    <xsd:enumeration value="G.Eveillard"/>
                    <xsd:enumeration value="G.F.Jackson"/>
                    <xsd:enumeration value="G.Gough"/>
                    <xsd:enumeration value="G.Mack"/>
                    <xsd:enumeration value="G.McKay"/>
                    <xsd:enumeration value="G.McLeod"/>
                    <xsd:enumeration value="G.P.Arnold"/>
                    <xsd:enumeration value="G.P.Course"/>
                    <xsd:enumeration value="G.Ritchie"/>
                    <xsd:enumeration value="G.Salze"/>
                    <xsd:enumeration value="G.Ward"/>
                    <xsd:enumeration value="Gang Wang"/>
                    <xsd:enumeration value="Gary Dunlin"/>
                    <xsd:enumeration value="Gary Hooper"/>
                    <xsd:enumeration value="Gavin Hatton"/>
                    <xsd:enumeration value="GC"/>
                    <xsd:enumeration value="GDCL"/>
                    <xsd:enumeration value="GMAV"/>
                    <xsd:enumeration value="Gordon Goldsworthy"/>
                    <xsd:enumeration value="Gorkana Group"/>
                    <xsd:enumeration value="Graham Pierce"/>
                    <xsd:enumeration value="GREAT"/>
                    <xsd:enumeration value="Gunnar Þórðarson"/>
                    <xsd:enumeration value="H.E.Bullock"/>
                    <xsd:enumeration value="H.English"/>
                    <xsd:enumeration value="H.McDiarmid"/>
                    <xsd:enumeration value="H.Q"/>
                    <xsd:enumeration value="H.R. Day"/>
                    <xsd:enumeration value="H.R.English"/>
                    <xsd:enumeration value="H.Ritchings"/>
                    <xsd:enumeration value="H.Teepsoo"/>
                    <xsd:enumeration value="H.W"/>
                    <xsd:enumeration value="Hannah Fawcett"/>
                    <xsd:enumeration value="Hannah Shaw"/>
                    <xsd:enumeration value="Hannah Thompson"/>
                    <xsd:enumeration value="Hazel Curtis"/>
                    <xsd:enumeration value="Hazel McShane"/>
                    <xsd:enumeration value="Heat &amp; Power Ltd."/>
                    <xsd:enumeration value="Heather Forbes"/>
                    <xsd:enumeration value="Heather Middleton"/>
                    <xsd:enumeration value="Helen Duggan"/>
                    <xsd:enumeration value="Hepples"/>
                    <xsd:enumeration value="Hilmar Hinz"/>
                    <xsd:enumeration value="HQ"/>
                    <xsd:enumeration value="HRE"/>
                    <xsd:enumeration value="Humber Seafood Institute"/>
                    <xsd:enumeration value="Humberside College of Higher Education"/>
                    <xsd:enumeration value="Hunterston"/>
                    <xsd:enumeration value="I. Berrill"/>
                    <xsd:enumeration value="I.F"/>
                    <xsd:enumeration value="I.Finley"/>
                    <xsd:enumeration value="I.Graham"/>
                    <xsd:enumeration value="I.Milligan"/>
                    <xsd:enumeration value="I.Tatterson"/>
                    <xsd:enumeration value="Iain Berrill (Scottish Salmon Producers Organisation)"/>
                    <xsd:enumeration value="Ian Laing"/>
                    <xsd:enumeration value="ICF"/>
                    <xsd:enumeration value="IFREMER France"/>
                    <xsd:enumeration value="Institute of Aquaculture, University of Stirling"/>
                    <xsd:enumeration value="Institute of Estuarine &amp; Coastal Studies, University of Hull"/>
                    <xsd:enumeration value="International Council for the Exploration of the Sea"/>
                    <xsd:enumeration value="International Society for the Study of Fatty Acids and Lipids"/>
                    <xsd:enumeration value="Ivan Bartolo"/>
                    <xsd:enumeration value="J.A"/>
                    <xsd:enumeration value="J.A.Shalliker"/>
                    <xsd:enumeration value="J.A.Upfield"/>
                    <xsd:enumeration value="J.Anderson"/>
                    <xsd:enumeration value="J.B.R"/>
                    <xsd:enumeration value="J.C"/>
                    <xsd:enumeration value="J.Carrick"/>
                    <xsd:enumeration value="J.Combes"/>
                    <xsd:enumeration value="J.D. Paul"/>
                    <xsd:enumeration value="J.D. Wood"/>
                    <xsd:enumeration value="J.D.Paul"/>
                    <xsd:enumeration value="J.D.Wood"/>
                    <xsd:enumeration value="J.Dunlop"/>
                    <xsd:enumeration value="J.E.B"/>
                    <xsd:enumeration value="J.E.D"/>
                    <xsd:enumeration value="J.E.Dye"/>
                    <xsd:enumeration value="J.E.Tumilty"/>
                    <xsd:enumeration value="J.Early"/>
                    <xsd:enumeration value="J.Eddom"/>
                    <xsd:enumeration value="J.Evans"/>
                    <xsd:enumeration value="J.Foster"/>
                    <xsd:enumeration value="J.Frederickson"/>
                    <xsd:enumeration value="J.Gascoigne"/>
                    <xsd:enumeration value="J.Grant"/>
                    <xsd:enumeration value="J.Grant"/>
                    <xsd:enumeration value="J.H.Brown"/>
                    <xsd:enumeration value="J.Harman"/>
                    <xsd:enumeration value="J.Hatchard"/>
                    <xsd:enumeration value="J.L.R"/>
                    <xsd:enumeration value="J.L.Robertson"/>
                    <xsd:enumeration value="J.Lansley"/>
                    <xsd:enumeration value="J.Lart"/>
                    <xsd:enumeration value="J.Lewis"/>
                    <xsd:enumeration value="J.M"/>
                    <xsd:enumeration value="J.M.Tower"/>
                    <xsd:enumeration value="J.M.Watson"/>
                    <xsd:enumeration value="J.MacMillan"/>
                    <xsd:enumeration value="J.MacNamara"/>
                    <xsd:enumeration value="J.May"/>
                    <xsd:enumeration value="J.McMillan"/>
                    <xsd:enumeration value="J.McNamara"/>
                    <xsd:enumeration value="J.Mikolajunas"/>
                    <xsd:enumeration value="J.Moore"/>
                    <xsd:enumeration value="J.Morris"/>
                    <xsd:enumeration value="J.N.Ward"/>
                    <xsd:enumeration value="J.NcNamara"/>
                    <xsd:enumeration value="J.Paul"/>
                    <xsd:enumeration value="J.R.Dye"/>
                    <xsd:enumeration value="J.R.Gifford"/>
                    <xsd:enumeration value="J.Rice"/>
                    <xsd:enumeration value="J.Rycroft"/>
                    <xsd:enumeration value="J.S"/>
                    <xsd:enumeration value="J.S.S"/>
                    <xsd:enumeration value="J.S.Saether"/>
                    <xsd:enumeration value="J.Shalliker"/>
                    <xsd:enumeration value="J.Sherwood"/>
                    <xsd:enumeration value="J.Slater"/>
                    <xsd:enumeration value="J.Smith"/>
                    <xsd:enumeration value="J.Swarbrick"/>
                    <xsd:enumeration value="J.T"/>
                    <xsd:enumeration value="J.T.Bryson"/>
                    <xsd:enumeration value="J.T.MacMillan"/>
                    <xsd:enumeration value="J.Tower"/>
                    <xsd:enumeration value="J.Treasurer"/>
                    <xsd:enumeration value="J.Tumilty"/>
                    <xsd:enumeration value="J.Upfield"/>
                    <xsd:enumeration value="J.W"/>
                    <xsd:enumeration value="J.W"/>
                    <xsd:enumeration value="J.W.Denton"/>
                    <xsd:enumeration value="J.Waterman"/>
                    <xsd:enumeration value="J.Watson"/>
                    <xsd:enumeration value="Jack Sewell"/>
                    <xsd:enumeration value="James Warwick"/>
                    <xsd:enumeration value="Jason Combes"/>
                    <xsd:enumeration value="Jennifer Russell"/>
                    <xsd:enumeration value="Jennifer Smith"/>
                    <xsd:enumeration value="Jeremy Sparks"/>
                    <xsd:enumeration value="Jim Ellis"/>
                    <xsd:enumeration value="Jim Hyam"/>
                    <xsd:enumeration value="Joe Cooper"/>
                    <xsd:enumeration value="John Anderson"/>
                    <xsd:enumeration value="John Barrington"/>
                    <xsd:enumeration value="John Cotter"/>
                    <xsd:enumeration value="John Foster"/>
                    <xsd:enumeration value="John Hambrey"/>
                    <xsd:enumeration value="John Hingley"/>
                    <xsd:enumeration value="John Lancaster"/>
                    <xsd:enumeration value="John O.S. Kennedy"/>
                    <xsd:enumeration value="John Richardson"/>
                    <xsd:enumeration value="John Wakeford"/>
                    <xsd:enumeration value="Jonas R.Vidarsson"/>
                    <xsd:enumeration value="José L. González Vecino"/>
                    <xsd:enumeration value="JSS"/>
                    <xsd:enumeration value="Julia Brooks"/>
                    <xsd:enumeration value="Julian Swarbrick"/>
                    <xsd:enumeration value="Julie Snowden"/>
                    <xsd:enumeration value="K.Adamson"/>
                    <xsd:enumeration value="K.Anderson"/>
                    <xsd:enumeration value="K.Arkley"/>
                    <xsd:enumeration value="K.C"/>
                    <xsd:enumeration value="K.C.Munday"/>
                    <xsd:enumeration value="K.D.Thompson"/>
                    <xsd:enumeration value="K.Day"/>
                    <xsd:enumeration value="K.Dye"/>
                    <xsd:enumeration value="K.Galloway"/>
                    <xsd:enumeration value="K.Graham"/>
                    <xsd:enumeration value="K.H"/>
                    <xsd:enumeration value="K.H.Haywood"/>
                    <xsd:enumeration value="K.Hairsine"/>
                    <xsd:enumeration value="K.Knox"/>
                    <xsd:enumeration value="K.Mazik"/>
                    <xsd:enumeration value="K.Singh"/>
                    <xsd:enumeration value="K.T.H"/>
                    <xsd:enumeration value="K.T.Howard"/>
                    <xsd:enumeration value="K.Tsontos"/>
                    <xsd:enumeration value="K.Waind"/>
                    <xsd:enumeration value="Karen Galloway"/>
                    <xsd:enumeration value="Karen Green"/>
                    <xsd:enumeration value="Karin Lüdemann/Wissenschaftsbüro"/>
                    <xsd:enumeration value="Kasia Kazimierczak"/>
                    <xsd:enumeration value="Kath Floater"/>
                    <xsd:enumeration value="Keith Hiscock"/>
                    <xsd:enumeration value="Keith Jeffrey"/>
                    <xsd:enumeration value="Ken Arkley"/>
                    <xsd:enumeration value="Kieran Westbrook"/>
                    <xsd:enumeration value="Kimberly Cullen"/>
                    <xsd:enumeration value="Kingfisher Information Services"/>
                    <xsd:enumeration value="Kirsten Milliken"/>
                    <xsd:enumeration value="KPMG AS"/>
                    <xsd:enumeration value="L Ridley"/>
                    <xsd:enumeration value="L. Dagorn"/>
                    <xsd:enumeration value="L.C.Ford"/>
                    <xsd:enumeration value="L.E.Hull"/>
                    <xsd:enumeration value="L.Ford"/>
                    <xsd:enumeration value="L.Hinchliff"/>
                    <xsd:enumeration value="L.Oxley"/>
                    <xsd:enumeration value="L.Pell"/>
                    <xsd:enumeration value="L.Readdy"/>
                    <xsd:enumeration value="L.Rooney"/>
                    <xsd:enumeration value="L.Webb"/>
                    <xsd:enumeration value="LACOTS"/>
                    <xsd:enumeration value="Laurence Rooney"/>
                    <xsd:enumeration value="Leatherhead Food Research"/>
                    <xsd:enumeration value="Lee Cocker"/>
                    <xsd:enumeration value="Lee Cooper"/>
                    <xsd:enumeration value="Lee Hastie"/>
                    <xsd:enumeration value="LEH"/>
                    <xsd:enumeration value="Leslsie Tait"/>
                    <xsd:enumeration value="Lewis Cowie"/>
                    <xsd:enumeration value="Lina-Lotta Lahdenkauppi"/>
                    <xsd:enumeration value="Liu Liping Sang Yanhua"/>
                    <xsd:enumeration value="Llyn Aquaculture Ltd."/>
                    <xsd:enumeration value="Loch Fyne Seafarms"/>
                    <xsd:enumeration value="LOCTS"/>
                    <xsd:enumeration value="Lorena Recio"/>
                    <xsd:enumeration value="Louise Jones"/>
                    <xsd:enumeration value="Louise Vaughan"/>
                    <xsd:enumeration value="Luis Cocas"/>
                    <xsd:enumeration value="Lynn Gilmore"/>
                    <xsd:enumeration value="M. Virgili"/>
                    <xsd:enumeration value="M.A.James"/>
                    <xsd:enumeration value="M.Anyadiegwu"/>
                    <xsd:enumeration value="M.Boulter"/>
                    <xsd:enumeration value="M.C.Platt"/>
                    <xsd:enumeration value="M.D"/>
                    <xsd:enumeration value="M.Daniels"/>
                    <xsd:enumeration value="M.Ellis"/>
                    <xsd:enumeration value="M.Emberton"/>
                    <xsd:enumeration value="M.George"/>
                    <xsd:enumeration value="M.Gillespie"/>
                    <xsd:enumeration value="M.Gray"/>
                    <xsd:enumeration value="M.H"/>
                    <xsd:enumeration value="M.Hamilton"/>
                    <xsd:enumeration value="M.Hatfield"/>
                    <xsd:enumeration value="M.Hayward"/>
                    <xsd:enumeration value="M.Humphrey"/>
                    <xsd:enumeration value="M.J.Campbell"/>
                    <xsd:enumeration value="M.J.Kaiser"/>
                    <xsd:enumeration value="M.J.S.G"/>
                    <xsd:enumeration value="M.James"/>
                    <xsd:enumeration value="M.Large"/>
                    <xsd:enumeration value="M.Lawton"/>
                    <xsd:enumeration value="M.Learmouth"/>
                    <xsd:enumeration value="M.M"/>
                    <xsd:enumeration value="M.Moore"/>
                    <xsd:enumeration value="M.Myers"/>
                    <xsd:enumeration value="M.Platt"/>
                    <xsd:enumeration value="M.Sturges"/>
                    <xsd:enumeration value="M.Syvret"/>
                    <xsd:enumeration value="M.Urch"/>
                    <xsd:enumeration value="M.Whitworth"/>
                    <xsd:enumeration value="MacMullen"/>
                    <xsd:enumeration value="Mafalda Viana"/>
                    <xsd:enumeration value="MAFF"/>
                    <xsd:enumeration value="Magnus L. Johnson"/>
                    <xsd:enumeration value="Malcolm Large"/>
                    <xsd:enumeration value="Mandy Pyke"/>
                    <xsd:enumeration value="Mao Hong"/>
                    <xsd:enumeration value="Marcus Jacklin"/>
                    <xsd:enumeration value="Marine and Coastguard Agency"/>
                    <xsd:enumeration value="Marine Stewardship Council"/>
                    <xsd:enumeration value="Marine Survey"/>
                    <xsd:enumeration value="MARITEK WORLDWIDE LTD"/>
                    <xsd:enumeration value="Mark Edmonds"/>
                    <xsd:enumeration value="Mark Gray"/>
                    <xsd:enumeration value="Mark O’Brien"/>
                    <xsd:enumeration value="Market Insight Team"/>
                    <xsd:enumeration value="Marta Moran Quintana"/>
                    <xsd:enumeration value="Martin Bowes"/>
                    <xsd:enumeration value="Martin Jaffa"/>
                    <xsd:enumeration value="Martin Syvret"/>
                    <xsd:enumeration value="Matthew Service"/>
                    <xsd:enumeration value="Melissa Pritchard"/>
                    <xsd:enumeration value="MH"/>
                    <xsd:enumeration value="Michael Bacon"/>
                    <xsd:enumeration value="Michael Humphrey"/>
                    <xsd:enumeration value="Michael Keatinge"/>
                    <xsd:enumeration value="Michaela Archer"/>
                    <xsd:enumeration value="Michel J.Kaiser"/>
                    <xsd:enumeration value="Mike Mitchell"/>
                    <xsd:enumeration value="Mike Montgomerie"/>
                    <xsd:enumeration value="Mike Park"/>
                    <xsd:enumeration value="Mike Smith"/>
                    <xsd:enumeration value="MRAG"/>
                    <xsd:enumeration value="Ms Amy Ridgeway"/>
                    <xsd:enumeration value="MTS"/>
                    <xsd:enumeration value="N Bailey"/>
                    <xsd:enumeration value="N.A.G"/>
                    <xsd:enumeration value="N.C.H.Lake"/>
                    <xsd:enumeration value="N.Downing"/>
                    <xsd:enumeration value="N.Garbutt"/>
                    <xsd:enumeration value="N.Graham"/>
                    <xsd:enumeration value="N.Hatfield"/>
                    <xsd:enumeration value="N.Kelly"/>
                    <xsd:enumeration value="N.M.K"/>
                    <xsd:enumeration value="N.M.Kerr"/>
                    <xsd:enumeration value="N.McEwan"/>
                    <xsd:enumeration value="N.McKeller"/>
                    <xsd:enumeration value="N.R.Halford"/>
                    <xsd:enumeration value="N.Ward"/>
                    <xsd:enumeration value="N.Whiteley"/>
                    <xsd:enumeration value="N.Wood"/>
                    <xsd:enumeration value="NAFC Marine Centre"/>
                    <xsd:enumeration value="Naomi McCann"/>
                    <xsd:enumeration value="Nathan de Rozarieux"/>
                    <xsd:enumeration value="National Health and Family Planning Commission"/>
                    <xsd:enumeration value="Nautilus Consultants"/>
                    <xsd:enumeration value="NFFO Services Ltd."/>
                    <xsd:enumeration value="NI Seafood Ind"/>
                    <xsd:enumeration value="Nia Whiteley"/>
                    <xsd:enumeration value="Nick Connelly"/>
                    <xsd:enumeration value="Nick Patience"/>
                    <xsd:enumeration value="Nofima"/>
                    <xsd:enumeration value="Norge"/>
                    <xsd:enumeration value="Norman"/>
                    <xsd:enumeration value="North Bay Shellfish Ltd"/>
                    <xsd:enumeration value="Northern Ireland Seafood"/>
                    <xsd:enumeration value="Not known"/>
                    <xsd:enumeration value="NSL"/>
                    <xsd:enumeration value="OceanWatch Australia"/>
                    <xsd:enumeration value="Oliver Tulley"/>
                    <xsd:enumeration value="Omnimas"/>
                    <xsd:enumeration value="Oscar Wilkie"/>
                    <xsd:enumeration value="Othniel Shellfish"/>
                    <xsd:enumeration value="P Gibson"/>
                    <xsd:enumeration value="P. Tyedmers (Dalhousie University)"/>
                    <xsd:enumeration value="P.B.Gallacher"/>
                    <xsd:enumeration value="P.Baird"/>
                    <xsd:enumeration value="P.Brown"/>
                    <xsd:enumeration value="P.C.Smith"/>
                    <xsd:enumeration value="P.D.Chaplin"/>
                    <xsd:enumeration value="P.G"/>
                    <xsd:enumeration value="P.G.W"/>
                    <xsd:enumeration value="P.Gatland"/>
                    <xsd:enumeration value="P.H.B"/>
                    <xsd:enumeration value="P.H.MacMullen"/>
                    <xsd:enumeration value="P.J.G"/>
                    <xsd:enumeration value="P.J.Hearn"/>
                    <xsd:enumeration value="P.Johnson"/>
                    <xsd:enumeration value="P.L. Newland"/>
                    <xsd:enumeration value="P.L.S"/>
                    <xsd:enumeration value="P.L.Smith"/>
                    <xsd:enumeration value="P.MacMullen"/>
                    <xsd:enumeration value="P.Math's"/>
                    <xsd:enumeration value="P.N"/>
                    <xsd:enumeration value="P.Neve"/>
                    <xsd:enumeration value="P.Posen"/>
                    <xsd:enumeration value="P.Prout"/>
                    <xsd:enumeration value="P.S"/>
                    <xsd:enumeration value="P.Smith"/>
                    <xsd:enumeration value="P.T.Franklin"/>
                    <xsd:enumeration value="P.Tiffney"/>
                    <xsd:enumeration value="P.Townend"/>
                    <xsd:enumeration value="P.V"/>
                    <xsd:enumeration value="P.W"/>
                    <xsd:enumeration value="P.Watson"/>
                    <xsd:enumeration value="P.Watts"/>
                    <xsd:enumeration value="P.White"/>
                    <xsd:enumeration value="P.Wilson"/>
                    <xsd:enumeration value="P.Wood"/>
                    <xsd:enumeration value="Paul Buckley (Marine Climate Change Impacts Partnership)"/>
                    <xsd:enumeration value="Paul Butler"/>
                    <xsd:enumeration value="Paul Medley"/>
                    <xsd:enumeration value="Paul Neve"/>
                    <xsd:enumeration value="Peter Tarrant"/>
                    <xsd:enumeration value="Peter Tyndall"/>
                    <xsd:enumeration value="Peter Walker"/>
                    <xsd:enumeration value="Peter Warren"/>
                    <xsd:enumeration value="Peter Wilson"/>
                    <xsd:enumeration value="Phil MacMullen"/>
                    <xsd:enumeration value="Phil Prout"/>
                    <xsd:enumeration value="Phillip Quirie"/>
                    <xsd:enumeration value="Pingguo He"/>
                    <xsd:enumeration value="PIRA"/>
                    <xsd:enumeration value="PIRA International"/>
                    <xsd:enumeration value="PJH"/>
                    <xsd:enumeration value="Platt"/>
                    <xsd:enumeration value="Plymouth Poly"/>
                    <xsd:enumeration value="Porter"/>
                    <xsd:enumeration value="Poseidon Aquatic Resource Management Ltd."/>
                    <xsd:enumeration value="Poseidon ARM and BTS"/>
                    <xsd:enumeration value="Prof. Michel J.Kaiser"/>
                    <xsd:enumeration value="Professor Laurence Mee"/>
                    <xsd:enumeration value="PT"/>
                    <xsd:enumeration value="Pyke and Deane Aquaculture Consultants"/>
                    <xsd:enumeration value="Qiang Weiguo"/>
                    <xsd:enumeration value="Qing Lv"/>
                    <xsd:enumeration value="Quality Assurance Department"/>
                    <xsd:enumeration value="R J Fryer"/>
                    <xsd:enumeration value="R J Kynoch"/>
                    <xsd:enumeration value="R Johnson"/>
                    <xsd:enumeration value="R S T Ferro"/>
                    <xsd:enumeration value="R. Land"/>
                    <xsd:enumeration value="R. Parker (Dalhousie University)"/>
                    <xsd:enumeration value="R.A.Reese"/>
                    <xsd:enumeration value="R.B.Watt"/>
                    <xsd:enumeration value="R.Bennett"/>
                    <xsd:enumeration value="R.Boyle"/>
                    <xsd:enumeration value="R.Bricknell"/>
                    <xsd:enumeration value="R.C"/>
                    <xsd:enumeration value="R.C"/>
                    <xsd:enumeration value="R.Campbell"/>
                    <xsd:enumeration value="R.Cappell"/>
                    <xsd:enumeration value="R.Curtis"/>
                    <xsd:enumeration value="R.D.E"/>
                    <xsd:enumeration value="R.E"/>
                    <xsd:enumeration value="R.Ellis"/>
                    <xsd:enumeration value="R.Enever"/>
                    <xsd:enumeration value="R.F"/>
                    <xsd:enumeration value="R.F.V"/>
                    <xsd:enumeration value="R.Finbow"/>
                    <xsd:enumeration value="R.Forster"/>
                    <xsd:enumeration value="R.Gara"/>
                    <xsd:enumeration value="R.H"/>
                    <xsd:enumeration value="R.Hill"/>
                    <xsd:enumeration value="R.Horton"/>
                    <xsd:enumeration value="R.J"/>
                    <xsd:enumeration value="R.J.A. Nichol"/>
                    <xsd:enumeration value="R.J.A.N"/>
                    <xsd:enumeration value="R.J.A.Nicholson"/>
                    <xsd:enumeration value="R.J.Shields"/>
                    <xsd:enumeration value="R.J.Slaski"/>
                    <xsd:enumeration value="R.Johnson"/>
                    <xsd:enumeration value="R.L"/>
                    <xsd:enumeration value="R.Leach"/>
                    <xsd:enumeration value="R.Lee"/>
                    <xsd:enumeration value="R.McCormack"/>
                    <xsd:enumeration value="R.McK"/>
                    <xsd:enumeration value="R.McM"/>
                    <xsd:enumeration value="R.Mounce"/>
                    <xsd:enumeration value="R.N"/>
                    <xsd:enumeration value="R.Nicholson"/>
                    <xsd:enumeration value="R.Pryor"/>
                    <xsd:enumeration value="R.S Batty"/>
                    <xsd:enumeration value="R.S.Horton"/>
                    <xsd:enumeration value="R.S.Mounce"/>
                    <xsd:enumeration value="R.S.T.Ferro"/>
                    <xsd:enumeration value="R.S.Walker"/>
                    <xsd:enumeration value="R.Seidel"/>
                    <xsd:enumeration value="R.Slaski"/>
                    <xsd:enumeration value="R.Uglow"/>
                    <xsd:enumeration value="R.W.Ellis"/>
                    <xsd:enumeration value="R.White"/>
                    <xsd:enumeration value="R.Whiteley"/>
                    <xsd:enumeration value="Rannva Danielsen"/>
                    <xsd:enumeration value="RB"/>
                    <xsd:enumeration value="Rebecca Harris"/>
                    <xsd:enumeration value="Richard Briggs"/>
                    <xsd:enumeration value="Richard Caslake"/>
                    <xsd:enumeration value="Richard Curtin"/>
                    <xsd:enumeration value="Richard L Shelmerdine"/>
                    <xsd:enumeration value="Richard Wardell"/>
                    <xsd:enumeration value="Richard Watson"/>
                    <xsd:enumeration value="RJA"/>
                    <xsd:enumeration value="Rjan"/>
                    <xsd:enumeration value="Rjan"/>
                    <xsd:enumeration value="RML Gratacap"/>
                    <xsd:enumeration value="Rob Tinch"/>
                    <xsd:enumeration value="Robert Clark"/>
                    <xsd:enumeration value="Robert Dawe"/>
                    <xsd:enumeration value="Robert Gillett"/>
                    <xsd:enumeration value="Robert Young"/>
                    <xsd:enumeration value="Rod Cappell"/>
                    <xsd:enumeration value="Roger B. Larsen"/>
                    <xsd:enumeration value="Roger Plant"/>
                    <xsd:enumeration value="Ronán Cosgrove"/>
                    <xsd:enumeration value="Roy Sutherland"/>
                    <xsd:enumeration value="RvZ"/>
                    <xsd:enumeration value="S M Anton"/>
                    <xsd:enumeration value="S. Anton (Seafish)"/>
                    <xsd:enumeration value="S.A.Horsfall"/>
                    <xsd:enumeration value="S.Antezana"/>
                    <xsd:enumeration value="S.Anton"/>
                    <xsd:enumeration value="S.Bark"/>
                    <xsd:enumeration value="S.D.Utting"/>
                    <xsd:enumeration value="S.Fiddy"/>
                    <xsd:enumeration value="S.H"/>
                    <xsd:enumeration value="S.Hepples"/>
                    <xsd:enumeration value="S.Hookam"/>
                    <xsd:enumeration value="S.Horsfall"/>
                    <xsd:enumeration value="S.K"/>
                    <xsd:enumeration value="S.Kingwell"/>
                    <xsd:enumeration value="S.Macinko"/>
                    <xsd:enumeration value="S.Metz"/>
                    <xsd:enumeration value="S.Millar"/>
                    <xsd:enumeration value="S.R"/>
                    <xsd:enumeration value="S.Ross-Smith"/>
                    <xsd:enumeration value="S.Shepherd"/>
                    <xsd:enumeration value="S.Sheppard Fidler"/>
                    <xsd:enumeration value="S.T.H"/>
                    <xsd:enumeration value="S.Walmsley"/>
                    <xsd:enumeration value="S.Wyman"/>
                    <xsd:enumeration value="S.Xu"/>
                    <xsd:enumeration value="SAGB"/>
                    <xsd:enumeration value="Sam Rush"/>
                    <xsd:enumeration value="Samuel Shephard"/>
                    <xsd:enumeration value="Sansanee Wangvoralak"/>
                    <xsd:enumeration value="Sarah Horsfall"/>
                    <xsd:enumeration value="SC Mangi"/>
                    <xsd:enumeration value="Scottish Association for Marine Science"/>
                    <xsd:enumeration value="Sea Fish Industrial Development Unit"/>
                    <xsd:enumeration value="Sea Fish Industry Authority"/>
                    <xsd:enumeration value="Seafish"/>
                    <xsd:enumeration value="Seafish Aquaculture"/>
                    <xsd:enumeration value="Seafish Corporate Comms"/>
                    <xsd:enumeration value="Seafish Economics"/>
                    <xsd:enumeration value="Seafish Gear Technology"/>
                    <xsd:enumeration value="Seafish Industrial Development Unit"/>
                    <xsd:enumeration value="Seafish Legislation"/>
                    <xsd:enumeration value="Seafish Marine Services"/>
                    <xsd:enumeration value="Seafish Market Insight"/>
                    <xsd:enumeration value="Seafish Marketing"/>
                    <xsd:enumeration value="Seafish Marketing and Reynier Research Ltd."/>
                    <xsd:enumeration value="Seafish Marketing Communications"/>
                    <xsd:enumeration value="Seafish R &amp; D"/>
                    <xsd:enumeration value="Seafish Technology"/>
                    <xsd:enumeration value="Seafish Training"/>
                    <xsd:enumeration value="Seafood 2040"/>
                    <xsd:enumeration value="Seafood Scotland"/>
                    <xsd:enumeration value="Sébastien Metz"/>
                    <xsd:enumeration value="SFIA"/>
                    <xsd:enumeration value="SFIA Hull"/>
                    <xsd:enumeration value="SFIA Industrial Development Unit"/>
                    <xsd:enumeration value="Shaoping Gu"/>
                    <xsd:enumeration value="Sharon Burke"/>
                    <xsd:enumeration value="Shaun Doran"/>
                    <xsd:enumeration value="Shellfish Association of Great Britain"/>
                    <xsd:enumeration value="Shellfish Committee"/>
                    <xsd:enumeration value="Shipowner Ltd."/>
                    <xsd:enumeration value="Simon Mardle"/>
                    <xsd:enumeration value="Simon Potten"/>
                    <xsd:enumeration value="Simon Wadsworth"/>
                    <xsd:enumeration value="SINTEF Fisheries and Aquaculture"/>
                    <xsd:enumeration value="SK"/>
                    <xsd:enumeration value="SMillar"/>
                    <xsd:enumeration value="SMRU"/>
                    <xsd:enumeration value="SOAEFD"/>
                    <xsd:enumeration value="SOAFD"/>
                    <xsd:enumeration value="Solway Marine Oysters"/>
                    <xsd:enumeration value="Sophie des Clers"/>
                    <xsd:enumeration value="Sophy McCully"/>
                    <xsd:enumeration value="Stephen Lockwood"/>
                    <xsd:enumeration value="Steve Eayrs"/>
                    <xsd:enumeration value="Steve Lawrence"/>
                    <xsd:enumeration value="Steven Votier"/>
                    <xsd:enumeration value="Stirling University"/>
                    <xsd:enumeration value="Struan Noble"/>
                    <xsd:enumeration value="Stuart Masson"/>
                    <xsd:enumeration value="Sue Evans"/>
                    <xsd:enumeration value="Sue Utting"/>
                    <xsd:enumeration value="Susan Anton"/>
                    <xsd:enumeration value="Sussex Sea Fisheries District Committee"/>
                    <xsd:enumeration value="Suzi Pegg"/>
                    <xsd:enumeration value="Suzi Pegg-Darlison"/>
                    <xsd:enumeration value="Sven Koschinski/Meereszoologie"/>
                    <xsd:enumeration value="T.Abram"/>
                    <xsd:enumeration value="T.E.White"/>
                    <xsd:enumeration value="T.Eggett"/>
                    <xsd:enumeration value="T.Goodwin"/>
                    <xsd:enumeration value="T.Gross"/>
                    <xsd:enumeration value="T.H.Birkbeck"/>
                    <xsd:enumeration value="T.H.Porter"/>
                    <xsd:enumeration value="T.L Catchpole"/>
                    <xsd:enumeration value="T.Misson"/>
                    <xsd:enumeration value="T.O"/>
                    <xsd:enumeration value="T.Raylor"/>
                    <xsd:enumeration value="T.Rossiter"/>
                    <xsd:enumeration value="T.S.O"/>
                    <xsd:enumeration value="T.W"/>
                    <xsd:enumeration value="T.Wieland"/>
                    <xsd:enumeration value="T.Wray"/>
                    <xsd:enumeration value="Tara McCarthy"/>
                    <xsd:enumeration value="Tegen Mor Fisheries Consultants"/>
                    <xsd:enumeration value="The Fraser of Allander Institute for Research on the Scottish Economy"/>
                    <xsd:enumeration value="The National Health and Family Planning Commission of the People’s Republic of China"/>
                    <xsd:enumeration value="The Sea Fish Industry Authority"/>
                    <xsd:enumeration value="The Shellfish Association of Great Britain"/>
                    <xsd:enumeration value="Thomas Breithaupt"/>
                    <xsd:enumeration value="Thomas Clifford"/>
                    <xsd:enumeration value="Tim Huntingdon"/>
                    <xsd:enumeration value="Tom Catchpole"/>
                    <xsd:enumeration value="Tom Pickerell"/>
                    <xsd:enumeration value="Tom Rossiter"/>
                    <xsd:enumeration value="Tony Garthwaite"/>
                    <xsd:enumeration value="Tony Legg CIBiol MIBiol MIFM"/>
                    <xsd:enumeration value="Tristan Southall"/>
                    <xsd:enumeration value="Tsvetina Yordanova"/>
                    <xsd:enumeration value="UK Association of Frozen Food Producers"/>
                    <xsd:enumeration value="Ulrik Jes Hansen"/>
                    <xsd:enumeration value="University of Aberdeen, School of Biological Sciences"/>
                    <xsd:enumeration value="University of Hull"/>
                    <xsd:enumeration value="Unknown"/>
                    <xsd:enumeration value="V. Restrepo"/>
                    <xsd:enumeration value="Vericatch"/>
                    <xsd:enumeration value="Víctor Restrepo"/>
                    <xsd:enumeration value="W R Turrell"/>
                    <xsd:enumeration value="W.Brugge"/>
                    <xsd:enumeration value="W.D"/>
                    <xsd:enumeration value="W.Denton"/>
                    <xsd:enumeration value="W.E.Taylor"/>
                    <xsd:enumeration value="W.M.Broncke"/>
                    <xsd:enumeration value="W.O.C"/>
                    <xsd:enumeration value="W.Phillips"/>
                    <xsd:enumeration value="W.Roy"/>
                    <xsd:enumeration value="W.Siddle"/>
                    <xsd:enumeration value="W.Smith"/>
                    <xsd:enumeration value="W.Yu"/>
                    <xsd:enumeration value="Wade Whitelaw"/>
                    <xsd:enumeration value="Walter Crozier"/>
                    <xsd:enumeration value="WD"/>
                    <xsd:enumeration value="Welsh Fishing Safety Committee in collaboration with Seafish (EMFF funding via Welsh Government)"/>
                    <xsd:enumeration value="WFA Industrial Development Unit"/>
                    <xsd:enumeration value="Wilber R. Seidel"/>
                    <xsd:enumeration value="William Lart"/>
                    <xsd:enumeration value="WS"/>
                    <xsd:enumeration value="Xiao Chen"/>
                    <xsd:enumeration value="Xiaowei Shi"/>
                    <xsd:enumeration value="Yang Huifen"/>
                    <xsd:enumeration value="Yolanda Corripio Miyar"/>
                    <xsd:enumeration value="Youngs Sea Foods"/>
                    <xsd:enumeration value="Yuan Aiping"/>
                    <xsd:enumeration value="Z.Wu"/>
                    <xsd:enumeration value="Zoe Healey"/>
                  </xsd:restriction>
                </xsd:simpleType>
              </xsd:element>
            </xsd:sequence>
          </xsd:extension>
        </xsd:complexContent>
      </xsd:complexType>
    </xsd:element>
    <xsd:element name="MediaFormatOld" ma:index="7" nillable="true" ma:displayName="Media Format Old" ma:internalName="MediaFormatOld">
      <xsd:simpleType>
        <xsd:restriction base="dms:Text"/>
      </xsd:simpleType>
    </xsd:element>
    <xsd:element name="PublicationRefNo" ma:index="8" nillable="true" ma:displayName="Publication Reference Number" ma:internalName="PublicationRefNo">
      <xsd:simpleType>
        <xsd:restriction base="dms:Text"/>
      </xsd:simpleType>
    </xsd:element>
    <xsd:element name="ISBN" ma:index="9" nillable="true" ma:displayName="ISBN" ma:internalName="ISBN">
      <xsd:simpleType>
        <xsd:restriction base="dms:Text"/>
      </xsd:simpleType>
    </xsd:element>
    <xsd:element name="LegacyId" ma:index="10" nillable="true" ma:displayName="Legacy Id" ma:hidden="true" ma:internalName="LegacyId" ma:readOnly="false">
      <xsd:simpleType>
        <xsd:restriction base="dms:Text"/>
      </xsd:simpleType>
    </xsd:element>
    <xsd:element name="PubMonth" ma:index="11" nillable="true" ma:displayName="Publication Month" ma:hidden="true" ma:internalName="PubMonth" ma:readOnly="false">
      <xsd:simpleType>
        <xsd:restriction base="dms:Text"/>
      </xsd:simpleType>
    </xsd:element>
    <xsd:element name="PubYear" ma:index="12" nillable="true" ma:displayName="Publication Year" ma:hidden="true" ma:indexed="true" ma:internalName="PubYear">
      <xsd:simpleType>
        <xsd:restriction base="dms:Text"/>
      </xsd:simpleType>
    </xsd:element>
    <xsd:element name="MediaFormat" ma:index="13" nillable="true" ma:displayName="Media Format" ma:default="" ma:format="Dropdown" ma:internalName="MediaFormat">
      <xsd:simpleType>
        <xsd:restriction base="dms:Choice">
          <xsd:enumeration value="Download"/>
          <xsd:enumeration value="CD"/>
          <xsd:enumeration value="Web Page"/>
          <xsd:enumeration value="Paper"/>
          <xsd:enumeration value="Booklet or leaflet"/>
          <xsd:enumeration value="Other"/>
          <xsd:enumeration value="Not known"/>
          <xsd:enumeration value="Book"/>
          <xsd:enumeration value="Video"/>
          <xsd:enumeration value="Manual"/>
          <xsd:enumeration value="Open learning module"/>
          <xsd:enumeration value="Distance learning pack"/>
          <xsd:enumeration value="OLM with video"/>
          <xsd:enumeration value="DVD"/>
        </xsd:restriction>
      </xsd:simpleType>
    </xsd:element>
    <xsd:element name="DocumentAdded" ma:index="14" ma:displayName="Added" ma:format="DateOnly" ma:indexed="true" ma:internalName="DocumentAdded">
      <xsd:simpleType>
        <xsd:restriction base="dms:DateTime"/>
      </xsd:simpleType>
    </xsd:element>
    <xsd:element name="DocumentStatus" ma:index="15" nillable="true" ma:displayName="Document Status" ma:default="Unpublished" ma:format="Dropdown" ma:indexed="true" ma:internalName="DocumentStatus">
      <xsd:simpleType>
        <xsd:restriction base="dms:Choice">
          <xsd:enumeration value="Deleted"/>
          <xsd:enumeration value="Unpublished"/>
          <xsd:enumeration value="Published"/>
          <xsd:enumeration value="Archived"/>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c1e97c-7a75-4aca-9712-5efb9ef450ab"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Year xmlns="cebd32e3-9ab6-41ee-b1af-b8405a8d4e68" xsi:nil="true"/>
    <MediaFormatOld xmlns="cebd32e3-9ab6-41ee-b1af-b8405a8d4e68" xsi:nil="true"/>
    <DocumentTopic xmlns="cebd32e3-9ab6-41ee-b1af-b8405a8d4e68">
      <Value>Factsheet/Datasheet</Value>
      <Value>Economics and Business</Value>
      <Value>.Web-Insight and Research</Value>
    </DocumentTopic>
    <ISBN xmlns="cebd32e3-9ab6-41ee-b1af-b8405a8d4e68" xsi:nil="true"/>
    <DocumentStatus xmlns="cebd32e3-9ab6-41ee-b1af-b8405a8d4e68">Published</DocumentStatus>
    <PublicationDate xmlns="cebd32e3-9ab6-41ee-b1af-b8405a8d4e68">2023-09-28T23:00:00+00:00</PublicationDate>
    <PubMonth xmlns="cebd32e3-9ab6-41ee-b1af-b8405a8d4e68" xsi:nil="true"/>
    <DocumentAdded xmlns="cebd32e3-9ab6-41ee-b1af-b8405a8d4e68">2023-09-28T23:00:00+00:00</DocumentAdded>
    <PublicationRefNo xmlns="cebd32e3-9ab6-41ee-b1af-b8405a8d4e68" xsi:nil="true"/>
    <DocumentAuthors xmlns="cebd32e3-9ab6-41ee-b1af-b8405a8d4e68">
      <Value>Arina Motova</Value>
    </DocumentAuthors>
    <LegacyId xmlns="cebd32e3-9ab6-41ee-b1af-b8405a8d4e68" xsi:nil="true"/>
    <DocumentSummary xmlns="cebd32e3-9ab6-41ee-b1af-b8405a8d4e68">This dataset presents data on annual economic performance for the UK fishing fleet from 2012 to 2022. The estimates are calculated based on samples of fishing costs and earnings gathered by Seafish.</DocumentSummary>
    <MediaFormat xmlns="cebd32e3-9ab6-41ee-b1af-b8405a8d4e6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20C5C2-12A2-467E-8E3C-A18CFB5AFF6E}"/>
</file>

<file path=customXml/itemProps2.xml><?xml version="1.0" encoding="utf-8"?>
<ds:datastoreItem xmlns:ds="http://schemas.openxmlformats.org/officeDocument/2006/customXml" ds:itemID="{E69442A2-7C10-4C13-9F81-A6442B4483D2}"/>
</file>

<file path=customXml/itemProps3.xml><?xml version="1.0" encoding="utf-8"?>
<ds:datastoreItem xmlns:ds="http://schemas.openxmlformats.org/officeDocument/2006/customXml" ds:itemID="{B1097A27-35E6-41A1-A068-DE8EB28035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Seafish Multi-annual fleet estimates 2012-22</dc:title>
  <dc:subject/>
  <dc:creator>Marta Moran-Quintana</dc:creator>
  <cp:keywords/>
  <dc:description/>
  <cp:lastModifiedBy>Laura Bain</cp:lastModifiedBy>
  <cp:revision/>
  <dcterms:created xsi:type="dcterms:W3CDTF">2023-08-07T16:01:54Z</dcterms:created>
  <dcterms:modified xsi:type="dcterms:W3CDTF">2023-11-08T14:56:21Z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0x010100FBC0F8BFD01A91498CA7837A71EEDFDB0100D8D74AD133DD5E4C9488BA264812959E</vt:lpwstr>
  </property>
  <property fmtid="{D5CDD505-2E9C-101B-9397-08002B2CF9AE}" pid="3" name="MediaServiceImageTags">
    <vt:lpwstr/>
  </property>
</Properties>
</file>